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11.Noviembre\Cuadros\"/>
    </mc:Choice>
  </mc:AlternateContent>
  <bookViews>
    <workbookView xWindow="-28920" yWindow="-120" windowWidth="29040" windowHeight="15840" tabRatio="886" firstSheet="10" activeTab="18"/>
  </bookViews>
  <sheets>
    <sheet name="Efectivo y Equivalentes" sheetId="1" r:id="rId1"/>
    <sheet name="Cuentas x Cob" sheetId="2" r:id="rId2"/>
    <sheet name="Incobrables" sheetId="3" r:id="rId3"/>
    <sheet name="Inventarios" sheetId="4" r:id="rId4"/>
    <sheet name="Seguros julio" sheetId="23" r:id="rId5"/>
    <sheet name="Seguros agosto" sheetId="22" r:id="rId6"/>
    <sheet name="seguros setiembre" sheetId="24" r:id="rId7"/>
    <sheet name="seguros de octubre" sheetId="25" r:id="rId8"/>
    <sheet name="seguros de noviembre" sheetId="26" r:id="rId9"/>
    <sheet name="Bienes no Concesionados" sheetId="5" r:id="rId10"/>
    <sheet name="Inv Bien no Conces " sheetId="11" r:id="rId11"/>
    <sheet name="Prop Planta y Equipo" sheetId="10" r:id="rId12"/>
    <sheet name="PPyE valor 0" sheetId="6" r:id="rId13"/>
    <sheet name="Bienes Infraestrucura" sheetId="12" r:id="rId14"/>
    <sheet name="Intangibles" sheetId="13" r:id="rId15"/>
    <sheet name="Bienes en Proceso" sheetId="20" r:id="rId16"/>
    <sheet name="Deudas CP" sheetId="15" r:id="rId17"/>
    <sheet name="Transferencias Pasivo" sheetId="14" r:id="rId18"/>
    <sheet name="Deuda Pública CP" sheetId="17" r:id="rId19"/>
    <sheet name="Dep en Garantía" sheetId="16" r:id="rId20"/>
    <sheet name="Deuda Pública LP" sheetId="18" r:id="rId21"/>
    <sheet name="Provisiones LP" sheetId="19" r:id="rId22"/>
  </sheets>
  <externalReferences>
    <externalReference r:id="rId23"/>
  </externalReferences>
  <definedNames>
    <definedName name="_xlnm._FilterDatabase" localSheetId="12" hidden="1">'PPyE valor 0'!$B$1:$G$365</definedName>
    <definedName name="_Hlk123996804" localSheetId="1">'Cuentas x Cob'!$B$12</definedName>
    <definedName name="_Hlk149383886" localSheetId="15">'Bienes en Proceso'!$B$2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3" i="6" l="1"/>
  <c r="L19" i="6"/>
  <c r="D38" i="1" l="1"/>
  <c r="D37" i="1"/>
  <c r="L15" i="1"/>
  <c r="L14" i="1"/>
  <c r="K14" i="1"/>
  <c r="E362" i="6" l="1"/>
  <c r="D362" i="6"/>
  <c r="F361" i="6"/>
  <c r="F360" i="6"/>
  <c r="F359" i="6"/>
  <c r="F358" i="6"/>
  <c r="E357" i="6"/>
  <c r="D357" i="6"/>
  <c r="F356" i="6"/>
  <c r="F355" i="6"/>
  <c r="F354" i="6"/>
  <c r="E353" i="6"/>
  <c r="D353" i="6"/>
  <c r="F352" i="6"/>
  <c r="F351" i="6"/>
  <c r="F353" i="6" s="1"/>
  <c r="E350" i="6"/>
  <c r="D350" i="6"/>
  <c r="F349" i="6"/>
  <c r="F348" i="6"/>
  <c r="F347" i="6"/>
  <c r="F346" i="6"/>
  <c r="F345" i="6"/>
  <c r="F344" i="6"/>
  <c r="F343" i="6"/>
  <c r="F342" i="6"/>
  <c r="F341" i="6"/>
  <c r="F340" i="6"/>
  <c r="F339" i="6"/>
  <c r="E338" i="6"/>
  <c r="D338" i="6"/>
  <c r="F337" i="6"/>
  <c r="F336" i="6"/>
  <c r="F335" i="6"/>
  <c r="F334" i="6"/>
  <c r="E333" i="6"/>
  <c r="D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E282" i="6"/>
  <c r="D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E256" i="6"/>
  <c r="D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E188" i="6"/>
  <c r="D188" i="6"/>
  <c r="F187" i="6"/>
  <c r="F186" i="6"/>
  <c r="E185" i="6"/>
  <c r="D185" i="6"/>
  <c r="F184" i="6"/>
  <c r="F183" i="6"/>
  <c r="F182" i="6"/>
  <c r="F181" i="6"/>
  <c r="F180" i="6"/>
  <c r="E179" i="6"/>
  <c r="D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E160" i="6"/>
  <c r="D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E140" i="6"/>
  <c r="D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E76" i="6"/>
  <c r="D76" i="6"/>
  <c r="F75" i="6"/>
  <c r="F74" i="6"/>
  <c r="F73" i="6"/>
  <c r="F72" i="6"/>
  <c r="E71" i="6"/>
  <c r="D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E47" i="6"/>
  <c r="D47" i="6"/>
  <c r="F46" i="6"/>
  <c r="F45" i="6"/>
  <c r="F44" i="6"/>
  <c r="F43" i="6"/>
  <c r="F42" i="6"/>
  <c r="E41" i="6"/>
  <c r="D41" i="6"/>
  <c r="F40" i="6"/>
  <c r="F39" i="6"/>
  <c r="F38" i="6"/>
  <c r="E37" i="6"/>
  <c r="D37" i="6"/>
  <c r="F36" i="6"/>
  <c r="F35" i="6"/>
  <c r="F34" i="6"/>
  <c r="F33" i="6"/>
  <c r="F32" i="6"/>
  <c r="F31" i="6"/>
  <c r="F30" i="6"/>
  <c r="F29" i="6"/>
  <c r="F27" i="6"/>
  <c r="E26" i="6"/>
  <c r="D26" i="6"/>
  <c r="F25" i="6"/>
  <c r="F26" i="6" s="1"/>
  <c r="E24" i="6"/>
  <c r="D24" i="6"/>
  <c r="F23" i="6"/>
  <c r="F22" i="6"/>
  <c r="F21" i="6"/>
  <c r="F20" i="6"/>
  <c r="E19" i="6"/>
  <c r="D19" i="6"/>
  <c r="F18" i="6"/>
  <c r="F19" i="6" s="1"/>
  <c r="E17" i="6"/>
  <c r="D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B34" i="10"/>
  <c r="F47" i="6" l="1"/>
  <c r="D366" i="6"/>
  <c r="E366" i="6"/>
  <c r="F41" i="6"/>
  <c r="F188" i="6"/>
  <c r="F256" i="6"/>
  <c r="F76" i="6"/>
  <c r="F362" i="6"/>
  <c r="F357" i="6"/>
  <c r="F179" i="6"/>
  <c r="F37" i="6"/>
  <c r="F282" i="6"/>
  <c r="F24" i="6"/>
  <c r="F160" i="6"/>
  <c r="F350" i="6"/>
  <c r="F185" i="6"/>
  <c r="F333" i="6"/>
  <c r="F338" i="6"/>
  <c r="F71" i="6"/>
  <c r="F17" i="6"/>
  <c r="F140" i="6"/>
  <c r="D363" i="6"/>
  <c r="E363" i="6"/>
  <c r="F363" i="6" l="1"/>
  <c r="E364" i="6"/>
  <c r="D54" i="15" l="1"/>
  <c r="E48" i="15"/>
  <c r="F48" i="15" s="1"/>
  <c r="D48" i="15"/>
  <c r="C48" i="15"/>
  <c r="D8" i="15"/>
  <c r="F7" i="15"/>
  <c r="E6" i="15"/>
  <c r="F6" i="15" s="1"/>
  <c r="E45" i="1" l="1"/>
  <c r="E30" i="1"/>
  <c r="E10" i="1"/>
  <c r="C7" i="17" l="1"/>
  <c r="D35" i="15"/>
  <c r="D25" i="15"/>
  <c r="D7" i="15"/>
  <c r="E6" i="5"/>
  <c r="E19" i="4"/>
  <c r="E27" i="4" s="1"/>
  <c r="E10" i="4"/>
  <c r="D5" i="4"/>
  <c r="E5" i="4"/>
  <c r="B62" i="26"/>
  <c r="J58" i="26"/>
  <c r="G57" i="26"/>
  <c r="G56" i="26"/>
  <c r="G55" i="26"/>
  <c r="J54" i="26"/>
  <c r="G54" i="26"/>
  <c r="G53" i="26"/>
  <c r="H76" i="26" s="1"/>
  <c r="J49" i="26"/>
  <c r="J50" i="26" s="1"/>
  <c r="F58" i="26" s="1"/>
  <c r="G58" i="26" s="1"/>
  <c r="J46" i="26"/>
  <c r="G47" i="26" s="1"/>
  <c r="G46" i="26" s="1"/>
  <c r="E44" i="26"/>
  <c r="O28" i="26"/>
  <c r="P28" i="26" s="1"/>
  <c r="J28" i="26"/>
  <c r="J29" i="26" s="1"/>
  <c r="AL19" i="26"/>
  <c r="AK19" i="26"/>
  <c r="AJ19" i="26"/>
  <c r="AI19" i="26"/>
  <c r="AW20" i="26" s="1"/>
  <c r="AH19" i="26"/>
  <c r="AG19" i="26"/>
  <c r="AF19" i="26"/>
  <c r="AE19" i="26"/>
  <c r="Q18" i="26"/>
  <c r="AK17" i="26"/>
  <c r="AJ17" i="26"/>
  <c r="AI17" i="26"/>
  <c r="AH17" i="26"/>
  <c r="AG17" i="26"/>
  <c r="AF17" i="26"/>
  <c r="AE17" i="26"/>
  <c r="AD17" i="26"/>
  <c r="AC17" i="26"/>
  <c r="AB17" i="26"/>
  <c r="AA17" i="26"/>
  <c r="Z17" i="26"/>
  <c r="Y17" i="26"/>
  <c r="X17" i="26"/>
  <c r="W17" i="26"/>
  <c r="V17" i="26"/>
  <c r="N17" i="26"/>
  <c r="N18" i="26" s="1"/>
  <c r="M17" i="26"/>
  <c r="L17" i="26"/>
  <c r="L18" i="26" s="1"/>
  <c r="K17" i="26"/>
  <c r="K18" i="26" s="1"/>
  <c r="AR16" i="26"/>
  <c r="AS16" i="26" s="1"/>
  <c r="H71" i="26" s="1"/>
  <c r="AM16" i="26"/>
  <c r="AQ16" i="26" s="1"/>
  <c r="H95" i="26" s="1"/>
  <c r="J16" i="26"/>
  <c r="AM15" i="26"/>
  <c r="AN15" i="26" s="1"/>
  <c r="J15" i="26"/>
  <c r="AM14" i="26"/>
  <c r="R14" i="26"/>
  <c r="O14" i="26"/>
  <c r="J14" i="26"/>
  <c r="AR13" i="26"/>
  <c r="AS13" i="26" s="1"/>
  <c r="H73" i="26" s="1"/>
  <c r="AM13" i="26"/>
  <c r="AQ13" i="26" s="1"/>
  <c r="H92" i="26" s="1"/>
  <c r="R13" i="26"/>
  <c r="O13" i="26"/>
  <c r="J13" i="26"/>
  <c r="AM12" i="26"/>
  <c r="R12" i="26"/>
  <c r="O12" i="26" s="1"/>
  <c r="J12" i="26"/>
  <c r="AR11" i="26"/>
  <c r="AS11" i="26" s="1"/>
  <c r="AQ11" i="26"/>
  <c r="R11" i="26"/>
  <c r="O11" i="26"/>
  <c r="J11" i="26"/>
  <c r="AR10" i="26"/>
  <c r="AQ10" i="26"/>
  <c r="R10" i="26"/>
  <c r="O10" i="26" s="1"/>
  <c r="J10" i="26"/>
  <c r="AR9" i="26"/>
  <c r="AS9" i="26" s="1"/>
  <c r="AQ9" i="26"/>
  <c r="R9" i="26"/>
  <c r="O9" i="26" s="1"/>
  <c r="J9" i="26"/>
  <c r="AS8" i="26"/>
  <c r="AR8" i="26"/>
  <c r="AQ8" i="26"/>
  <c r="R8" i="26"/>
  <c r="O8" i="26" s="1"/>
  <c r="J8" i="26"/>
  <c r="AR7" i="26"/>
  <c r="AS7" i="26" s="1"/>
  <c r="AQ7" i="26"/>
  <c r="R7" i="26"/>
  <c r="O7" i="26" s="1"/>
  <c r="J7" i="26"/>
  <c r="AS6" i="26"/>
  <c r="AR6" i="26"/>
  <c r="AQ6" i="26"/>
  <c r="R6" i="26"/>
  <c r="O6" i="26" s="1"/>
  <c r="J6" i="26"/>
  <c r="AR5" i="26"/>
  <c r="AS5" i="26" s="1"/>
  <c r="AQ5" i="26"/>
  <c r="H84" i="26" s="1"/>
  <c r="J5" i="26"/>
  <c r="BD4" i="26"/>
  <c r="AM4" i="26"/>
  <c r="AL4" i="26"/>
  <c r="AL17" i="26" s="1"/>
  <c r="R4" i="26"/>
  <c r="O4" i="26"/>
  <c r="J4" i="26"/>
  <c r="AR3" i="26"/>
  <c r="AS3" i="26" s="1"/>
  <c r="AQ3" i="26"/>
  <c r="R3" i="26"/>
  <c r="O3" i="26" s="1"/>
  <c r="J3" i="26"/>
  <c r="M18" i="26" l="1"/>
  <c r="AT17" i="26"/>
  <c r="O17" i="26"/>
  <c r="O18" i="26" s="1"/>
  <c r="J30" i="26"/>
  <c r="J31" i="26" s="1"/>
  <c r="J32" i="26" s="1"/>
  <c r="J33" i="26" s="1"/>
  <c r="J34" i="26" s="1"/>
  <c r="J36" i="26"/>
  <c r="J37" i="26" s="1"/>
  <c r="AQ12" i="26"/>
  <c r="H91" i="26" s="1"/>
  <c r="G45" i="26"/>
  <c r="G44" i="26"/>
  <c r="G43" i="26" s="1"/>
  <c r="E43" i="26" s="1"/>
  <c r="AQ14" i="26"/>
  <c r="H93" i="26" s="1"/>
  <c r="AM19" i="26"/>
  <c r="R18" i="26"/>
  <c r="AM17" i="26"/>
  <c r="T18" i="26"/>
  <c r="T19" i="26" s="1"/>
  <c r="O36" i="26"/>
  <c r="AO15" i="26"/>
  <c r="AO19" i="26" s="1"/>
  <c r="AN12" i="26"/>
  <c r="AN4" i="26"/>
  <c r="AN14" i="26"/>
  <c r="AR14" i="26" s="1"/>
  <c r="AS14" i="26" s="1"/>
  <c r="H74" i="26" s="1"/>
  <c r="H97" i="26"/>
  <c r="E39" i="1"/>
  <c r="D36" i="1"/>
  <c r="E33" i="1"/>
  <c r="C5" i="16"/>
  <c r="D10" i="1"/>
  <c r="AR15" i="26" l="1"/>
  <c r="AS15" i="26" s="1"/>
  <c r="H70" i="26" s="1"/>
  <c r="AQ15" i="26"/>
  <c r="H94" i="26" s="1"/>
  <c r="AR4" i="26"/>
  <c r="AO4" i="26"/>
  <c r="AN17" i="26"/>
  <c r="AR12" i="26"/>
  <c r="AS12" i="26" s="1"/>
  <c r="H72" i="26" s="1"/>
  <c r="H75" i="26" s="1"/>
  <c r="H77" i="26" s="1"/>
  <c r="AN19" i="26"/>
  <c r="E34" i="11"/>
  <c r="AS4" i="26" l="1"/>
  <c r="AS17" i="26" s="1"/>
  <c r="AR17" i="26"/>
  <c r="AO17" i="26"/>
  <c r="AQ4" i="26"/>
  <c r="AQ17" i="26" s="1"/>
  <c r="B34" i="11"/>
  <c r="H83" i="26" l="1"/>
  <c r="H96" i="26" s="1"/>
  <c r="I75" i="26"/>
  <c r="AU17" i="26"/>
  <c r="D53" i="11"/>
  <c r="D54" i="11" s="1"/>
  <c r="D55" i="11" s="1"/>
  <c r="I96" i="26" l="1"/>
  <c r="H43" i="26"/>
  <c r="I43" i="26" s="1"/>
  <c r="H98" i="26"/>
  <c r="J96" i="26"/>
  <c r="L17" i="11"/>
  <c r="L3" i="11"/>
  <c r="L27" i="11"/>
  <c r="L5" i="11"/>
  <c r="C34" i="11"/>
  <c r="F34" i="11"/>
  <c r="E38" i="1" l="1"/>
  <c r="E36" i="1" s="1"/>
  <c r="B62" i="25" l="1"/>
  <c r="G58" i="25"/>
  <c r="G57" i="25"/>
  <c r="G56" i="25"/>
  <c r="G55" i="25"/>
  <c r="G54" i="25"/>
  <c r="G53" i="25"/>
  <c r="H76" i="25" s="1"/>
  <c r="J49" i="25"/>
  <c r="J46" i="25"/>
  <c r="G47" i="25" s="1"/>
  <c r="G46" i="25" s="1"/>
  <c r="E44" i="25"/>
  <c r="J29" i="25"/>
  <c r="J30" i="25" s="1"/>
  <c r="O28" i="25"/>
  <c r="O36" i="25" s="1"/>
  <c r="J28" i="25"/>
  <c r="AL19" i="25"/>
  <c r="AK19" i="25"/>
  <c r="AJ19" i="25"/>
  <c r="AI19" i="25"/>
  <c r="AH19" i="25"/>
  <c r="AG19" i="25"/>
  <c r="AF19" i="25"/>
  <c r="AE19" i="25"/>
  <c r="Q18" i="25"/>
  <c r="AK17" i="25"/>
  <c r="AJ17" i="25"/>
  <c r="AI17" i="25"/>
  <c r="AH17" i="25"/>
  <c r="AG17" i="25"/>
  <c r="AF17" i="25"/>
  <c r="AE17" i="25"/>
  <c r="AD17" i="25"/>
  <c r="AC17" i="25"/>
  <c r="AB17" i="25"/>
  <c r="AA17" i="25"/>
  <c r="Z17" i="25"/>
  <c r="Y17" i="25"/>
  <c r="X17" i="25"/>
  <c r="W17" i="25"/>
  <c r="V17" i="25"/>
  <c r="N17" i="25"/>
  <c r="M17" i="25"/>
  <c r="M18" i="25" s="1"/>
  <c r="L17" i="25"/>
  <c r="K17" i="25"/>
  <c r="K18" i="25" s="1"/>
  <c r="AM16" i="25"/>
  <c r="AR16" i="25" s="1"/>
  <c r="AS16" i="25" s="1"/>
  <c r="H71" i="25" s="1"/>
  <c r="J16" i="25"/>
  <c r="AM15" i="25"/>
  <c r="AN15" i="25" s="1"/>
  <c r="J15" i="25"/>
  <c r="AM14" i="25"/>
  <c r="R14" i="25"/>
  <c r="O14" i="25" s="1"/>
  <c r="J14" i="25"/>
  <c r="AM13" i="25"/>
  <c r="AR13" i="25" s="1"/>
  <c r="AS13" i="25" s="1"/>
  <c r="H73" i="25" s="1"/>
  <c r="R13" i="25"/>
  <c r="O13" i="25" s="1"/>
  <c r="J13" i="25"/>
  <c r="AM12" i="25"/>
  <c r="R12" i="25"/>
  <c r="O12" i="25" s="1"/>
  <c r="J12" i="25"/>
  <c r="AR11" i="25"/>
  <c r="AS11" i="25" s="1"/>
  <c r="AQ11" i="25"/>
  <c r="R11" i="25"/>
  <c r="O11" i="25"/>
  <c r="J11" i="25"/>
  <c r="AR10" i="25"/>
  <c r="AQ10" i="25"/>
  <c r="R10" i="25"/>
  <c r="O10" i="25" s="1"/>
  <c r="J10" i="25"/>
  <c r="AR9" i="25"/>
  <c r="AS9" i="25" s="1"/>
  <c r="AQ9" i="25"/>
  <c r="R9" i="25"/>
  <c r="O9" i="25"/>
  <c r="J9" i="25"/>
  <c r="AR8" i="25"/>
  <c r="AS8" i="25" s="1"/>
  <c r="AQ8" i="25"/>
  <c r="R8" i="25"/>
  <c r="O8" i="25" s="1"/>
  <c r="J8" i="25"/>
  <c r="AR7" i="25"/>
  <c r="AS7" i="25" s="1"/>
  <c r="AQ7" i="25"/>
  <c r="R7" i="25"/>
  <c r="O7" i="25"/>
  <c r="J7" i="25"/>
  <c r="AR6" i="25"/>
  <c r="AS6" i="25" s="1"/>
  <c r="AQ6" i="25"/>
  <c r="R6" i="25"/>
  <c r="O6" i="25" s="1"/>
  <c r="J6" i="25"/>
  <c r="AR5" i="25"/>
  <c r="AS5" i="25" s="1"/>
  <c r="AQ5" i="25"/>
  <c r="H84" i="25" s="1"/>
  <c r="J5" i="25"/>
  <c r="BD4" i="25"/>
  <c r="AM4" i="25"/>
  <c r="AL4" i="25"/>
  <c r="AL17" i="25" s="1"/>
  <c r="R4" i="25"/>
  <c r="O4" i="25"/>
  <c r="J4" i="25"/>
  <c r="AR3" i="25"/>
  <c r="AQ3" i="25"/>
  <c r="R3" i="25"/>
  <c r="O3" i="25" s="1"/>
  <c r="J3" i="25"/>
  <c r="AW20" i="25" l="1"/>
  <c r="L18" i="25"/>
  <c r="N18" i="25"/>
  <c r="AQ13" i="25"/>
  <c r="H92" i="25" s="1"/>
  <c r="O17" i="25"/>
  <c r="O18" i="25" s="1"/>
  <c r="J50" i="25"/>
  <c r="H97" i="25" s="1"/>
  <c r="R18" i="25"/>
  <c r="AT17" i="25"/>
  <c r="T18" i="25"/>
  <c r="T19" i="25" s="1"/>
  <c r="J31" i="25"/>
  <c r="J32" i="25" s="1"/>
  <c r="J33" i="25" s="1"/>
  <c r="G44" i="25"/>
  <c r="G43" i="25" s="1"/>
  <c r="E43" i="25" s="1"/>
  <c r="G45" i="25"/>
  <c r="AF56" i="25" s="1"/>
  <c r="AF57" i="25" s="1"/>
  <c r="AN4" i="25"/>
  <c r="AQ4" i="25" s="1"/>
  <c r="H83" i="25" s="1"/>
  <c r="P28" i="25"/>
  <c r="AQ15" i="25"/>
  <c r="H94" i="25" s="1"/>
  <c r="AR15" i="25"/>
  <c r="AS15" i="25" s="1"/>
  <c r="H70" i="25" s="1"/>
  <c r="AN12" i="25"/>
  <c r="AQ16" i="25"/>
  <c r="H95" i="25" s="1"/>
  <c r="AM17" i="25"/>
  <c r="AM19" i="25"/>
  <c r="AS3" i="25"/>
  <c r="AN14" i="25"/>
  <c r="AQ14" i="25" s="1"/>
  <c r="H93" i="25" s="1"/>
  <c r="AR14" i="25" l="1"/>
  <c r="AS14" i="25" s="1"/>
  <c r="H74" i="25" s="1"/>
  <c r="AN19" i="25"/>
  <c r="AR12" i="25"/>
  <c r="AS12" i="25" s="1"/>
  <c r="H72" i="25" s="1"/>
  <c r="H75" i="25" s="1"/>
  <c r="H77" i="25" s="1"/>
  <c r="J36" i="25"/>
  <c r="J37" i="25" s="1"/>
  <c r="AN17" i="25"/>
  <c r="AR4" i="25"/>
  <c r="AQ12" i="25"/>
  <c r="H91" i="25" s="1"/>
  <c r="H96" i="25" s="1"/>
  <c r="AQ17" i="25" l="1"/>
  <c r="I96" i="25" s="1"/>
  <c r="J96" i="25" s="1"/>
  <c r="H98" i="25"/>
  <c r="AS4" i="25"/>
  <c r="AS17" i="25" s="1"/>
  <c r="AU17" i="25" s="1"/>
  <c r="AR17" i="25"/>
  <c r="H43" i="25" l="1"/>
  <c r="I43" i="25" s="1"/>
  <c r="E22" i="17"/>
  <c r="F22" i="17" s="1"/>
  <c r="E16" i="17" l="1"/>
  <c r="F16" i="17" s="1"/>
  <c r="H32" i="18" l="1"/>
  <c r="H31" i="18"/>
  <c r="C14" i="18" l="1"/>
  <c r="C53" i="15" l="1"/>
  <c r="G5" i="10" l="1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4" i="10"/>
  <c r="G34" i="10" l="1"/>
  <c r="H34" i="11"/>
  <c r="L4" i="10" l="1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" i="10"/>
  <c r="C34" i="10"/>
  <c r="F34" i="10"/>
  <c r="I34" i="11"/>
  <c r="J68" i="24" l="1"/>
  <c r="J46" i="24"/>
  <c r="J49" i="24"/>
  <c r="J50" i="24" s="1"/>
  <c r="H97" i="24" s="1"/>
  <c r="J56" i="24"/>
  <c r="H76" i="24"/>
  <c r="G47" i="24"/>
  <c r="G46" i="24" s="1"/>
  <c r="O28" i="24"/>
  <c r="P28" i="24" s="1"/>
  <c r="J28" i="24"/>
  <c r="J29" i="24" s="1"/>
  <c r="J30" i="24" s="1"/>
  <c r="J31" i="24" s="1"/>
  <c r="AL19" i="24"/>
  <c r="AK19" i="24"/>
  <c r="AJ19" i="24"/>
  <c r="AI19" i="24"/>
  <c r="AH19" i="24"/>
  <c r="AG19" i="24"/>
  <c r="AF19" i="24"/>
  <c r="AE19" i="24"/>
  <c r="Q18" i="24"/>
  <c r="AT17" i="24"/>
  <c r="AK17" i="24"/>
  <c r="AJ17" i="24"/>
  <c r="AI17" i="24"/>
  <c r="AH17" i="24"/>
  <c r="AG17" i="24"/>
  <c r="AF17" i="24"/>
  <c r="AE17" i="24"/>
  <c r="AD17" i="24"/>
  <c r="AC17" i="24"/>
  <c r="AB17" i="24"/>
  <c r="AA17" i="24"/>
  <c r="Z17" i="24"/>
  <c r="Y17" i="24"/>
  <c r="X17" i="24"/>
  <c r="W17" i="24"/>
  <c r="V17" i="24"/>
  <c r="N17" i="24"/>
  <c r="N18" i="24" s="1"/>
  <c r="M17" i="24"/>
  <c r="L17" i="24"/>
  <c r="K17" i="24"/>
  <c r="K18" i="24" s="1"/>
  <c r="AM16" i="24"/>
  <c r="AR16" i="24" s="1"/>
  <c r="AS16" i="24" s="1"/>
  <c r="H71" i="24" s="1"/>
  <c r="J16" i="24"/>
  <c r="AM15" i="24"/>
  <c r="AQ15" i="24" s="1"/>
  <c r="H94" i="24" s="1"/>
  <c r="J15" i="24"/>
  <c r="AM14" i="24"/>
  <c r="AR14" i="24" s="1"/>
  <c r="AS14" i="24" s="1"/>
  <c r="H74" i="24" s="1"/>
  <c r="R14" i="24"/>
  <c r="O14" i="24" s="1"/>
  <c r="J14" i="24"/>
  <c r="AM13" i="24"/>
  <c r="AR13" i="24" s="1"/>
  <c r="AS13" i="24" s="1"/>
  <c r="H73" i="24" s="1"/>
  <c r="R13" i="24"/>
  <c r="O13" i="24" s="1"/>
  <c r="J13" i="24"/>
  <c r="AM12" i="24"/>
  <c r="AR12" i="24" s="1"/>
  <c r="AS12" i="24" s="1"/>
  <c r="H72" i="24" s="1"/>
  <c r="R12" i="24"/>
  <c r="O12" i="24" s="1"/>
  <c r="J12" i="24"/>
  <c r="AR11" i="24"/>
  <c r="AS11" i="24" s="1"/>
  <c r="AQ11" i="24"/>
  <c r="R11" i="24"/>
  <c r="O11" i="24" s="1"/>
  <c r="J11" i="24"/>
  <c r="AR10" i="24"/>
  <c r="AQ10" i="24"/>
  <c r="R10" i="24"/>
  <c r="O10" i="24" s="1"/>
  <c r="J10" i="24"/>
  <c r="AR9" i="24"/>
  <c r="AS9" i="24" s="1"/>
  <c r="AQ9" i="24"/>
  <c r="R9" i="24"/>
  <c r="O9" i="24" s="1"/>
  <c r="J9" i="24"/>
  <c r="AR8" i="24"/>
  <c r="AS8" i="24" s="1"/>
  <c r="AQ8" i="24"/>
  <c r="R8" i="24"/>
  <c r="O8" i="24" s="1"/>
  <c r="J8" i="24"/>
  <c r="AR7" i="24"/>
  <c r="AS7" i="24" s="1"/>
  <c r="AQ7" i="24"/>
  <c r="R7" i="24"/>
  <c r="O7" i="24" s="1"/>
  <c r="J7" i="24"/>
  <c r="AR6" i="24"/>
  <c r="AS6" i="24" s="1"/>
  <c r="AQ6" i="24"/>
  <c r="R6" i="24"/>
  <c r="O6" i="24" s="1"/>
  <c r="J6" i="24"/>
  <c r="AR5" i="24"/>
  <c r="AS5" i="24" s="1"/>
  <c r="AQ5" i="24"/>
  <c r="H84" i="24" s="1"/>
  <c r="J5" i="24"/>
  <c r="BD4" i="24"/>
  <c r="AM4" i="24"/>
  <c r="AL4" i="24"/>
  <c r="AL17" i="24" s="1"/>
  <c r="R4" i="24"/>
  <c r="O4" i="24" s="1"/>
  <c r="J4" i="24"/>
  <c r="AR3" i="24"/>
  <c r="AS3" i="24" s="1"/>
  <c r="AQ3" i="24"/>
  <c r="R3" i="24"/>
  <c r="O3" i="24" s="1"/>
  <c r="J3" i="24"/>
  <c r="AQ4" i="24" l="1"/>
  <c r="M18" i="24"/>
  <c r="AQ16" i="24"/>
  <c r="H95" i="24" s="1"/>
  <c r="L18" i="24"/>
  <c r="AR15" i="24"/>
  <c r="AS15" i="24" s="1"/>
  <c r="AQ13" i="24"/>
  <c r="H92" i="24" s="1"/>
  <c r="AW20" i="24"/>
  <c r="AQ12" i="24"/>
  <c r="H91" i="24" s="1"/>
  <c r="AQ14" i="24"/>
  <c r="H93" i="24" s="1"/>
  <c r="H83" i="24"/>
  <c r="H70" i="24"/>
  <c r="H75" i="24" s="1"/>
  <c r="J32" i="24"/>
  <c r="J36" i="24" s="1"/>
  <c r="J37" i="24" s="1"/>
  <c r="O17" i="24"/>
  <c r="O18" i="24" s="1"/>
  <c r="G45" i="24"/>
  <c r="AM17" i="24"/>
  <c r="R18" i="24"/>
  <c r="AR4" i="24"/>
  <c r="AS4" i="24" s="1"/>
  <c r="AS17" i="24" s="1"/>
  <c r="T18" i="24"/>
  <c r="T19" i="24" s="1"/>
  <c r="O36" i="24"/>
  <c r="G50" i="24"/>
  <c r="D5" i="16"/>
  <c r="E3" i="17"/>
  <c r="F3" i="17" s="1"/>
  <c r="F28" i="5"/>
  <c r="E16" i="4"/>
  <c r="H96" i="24" l="1"/>
  <c r="AQ17" i="24"/>
  <c r="H53" i="24"/>
  <c r="I53" i="24" s="1"/>
  <c r="I75" i="24"/>
  <c r="J75" i="24" s="1"/>
  <c r="AU17" i="24"/>
  <c r="H98" i="24"/>
  <c r="H43" i="24"/>
  <c r="I96" i="24"/>
  <c r="J96" i="24" s="1"/>
  <c r="G49" i="24"/>
  <c r="G44" i="24" s="1"/>
  <c r="G48" i="24"/>
  <c r="AR17" i="24"/>
  <c r="H77" i="24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4" i="10"/>
  <c r="I34" i="10"/>
  <c r="L34" i="10"/>
  <c r="K33" i="10"/>
  <c r="M33" i="10" s="1"/>
  <c r="K32" i="10"/>
  <c r="M32" i="10" s="1"/>
  <c r="K31" i="10"/>
  <c r="M31" i="10" s="1"/>
  <c r="K30" i="10"/>
  <c r="M30" i="10" s="1"/>
  <c r="K29" i="10"/>
  <c r="M29" i="10" s="1"/>
  <c r="K28" i="10"/>
  <c r="M28" i="10" s="1"/>
  <c r="K27" i="10"/>
  <c r="M27" i="10" s="1"/>
  <c r="K26" i="10"/>
  <c r="M26" i="10" s="1"/>
  <c r="K25" i="10"/>
  <c r="M25" i="10" s="1"/>
  <c r="K24" i="10"/>
  <c r="M24" i="10" s="1"/>
  <c r="K23" i="10"/>
  <c r="M23" i="10" s="1"/>
  <c r="K22" i="10"/>
  <c r="M22" i="10" s="1"/>
  <c r="K21" i="10"/>
  <c r="M21" i="10" s="1"/>
  <c r="K20" i="10"/>
  <c r="M20" i="10" s="1"/>
  <c r="K19" i="10"/>
  <c r="M19" i="10" s="1"/>
  <c r="K18" i="10"/>
  <c r="M18" i="10" s="1"/>
  <c r="K17" i="10"/>
  <c r="M17" i="10" s="1"/>
  <c r="K16" i="10"/>
  <c r="M16" i="10" s="1"/>
  <c r="K15" i="10"/>
  <c r="M15" i="10" s="1"/>
  <c r="K14" i="10"/>
  <c r="M14" i="10" s="1"/>
  <c r="K13" i="10"/>
  <c r="M13" i="10" s="1"/>
  <c r="K12" i="10"/>
  <c r="M12" i="10" s="1"/>
  <c r="K11" i="10"/>
  <c r="M11" i="10" s="1"/>
  <c r="K10" i="10"/>
  <c r="M10" i="10" s="1"/>
  <c r="K9" i="10"/>
  <c r="M9" i="10" s="1"/>
  <c r="K8" i="10"/>
  <c r="M8" i="10" s="1"/>
  <c r="K7" i="10"/>
  <c r="M7" i="10" s="1"/>
  <c r="K6" i="10"/>
  <c r="M6" i="10" s="1"/>
  <c r="K5" i="10"/>
  <c r="M5" i="10" s="1"/>
  <c r="K4" i="10"/>
  <c r="M4" i="10" s="1"/>
  <c r="K3" i="10"/>
  <c r="H34" i="10"/>
  <c r="E34" i="10"/>
  <c r="K34" i="10" l="1"/>
  <c r="E44" i="24"/>
  <c r="G43" i="24"/>
  <c r="E43" i="24" s="1"/>
  <c r="M3" i="10"/>
  <c r="M34" i="10" s="1"/>
  <c r="J34" i="10"/>
  <c r="F23" i="5"/>
  <c r="I43" i="24" l="1"/>
  <c r="AZ21" i="22"/>
  <c r="J3" i="22"/>
  <c r="R3" i="22"/>
  <c r="O3" i="22" s="1"/>
  <c r="AQ3" i="22"/>
  <c r="AR3" i="22"/>
  <c r="AS3" i="22" s="1"/>
  <c r="J4" i="22"/>
  <c r="R4" i="22"/>
  <c r="O4" i="22" s="1"/>
  <c r="AQ4" i="22"/>
  <c r="AR4" i="22"/>
  <c r="BA4" i="22"/>
  <c r="J5" i="22"/>
  <c r="AQ5" i="22"/>
  <c r="AR5" i="22"/>
  <c r="AS5" i="22" s="1"/>
  <c r="J6" i="22"/>
  <c r="R6" i="22"/>
  <c r="O6" i="22" s="1"/>
  <c r="AQ6" i="22"/>
  <c r="AR6" i="22"/>
  <c r="AS6" i="22" s="1"/>
  <c r="J7" i="22"/>
  <c r="R7" i="22"/>
  <c r="O7" i="22" s="1"/>
  <c r="AQ7" i="22"/>
  <c r="AR7" i="22"/>
  <c r="AS7" i="22" s="1"/>
  <c r="J8" i="22"/>
  <c r="R8" i="22"/>
  <c r="O8" i="22" s="1"/>
  <c r="AQ8" i="22"/>
  <c r="AR8" i="22"/>
  <c r="AS8" i="22" s="1"/>
  <c r="J9" i="22"/>
  <c r="R9" i="22"/>
  <c r="O9" i="22" s="1"/>
  <c r="AQ9" i="22"/>
  <c r="AR9" i="22"/>
  <c r="AS9" i="22" s="1"/>
  <c r="J10" i="22"/>
  <c r="R10" i="22"/>
  <c r="O10" i="22" s="1"/>
  <c r="AQ10" i="22"/>
  <c r="AR10" i="22"/>
  <c r="J11" i="22"/>
  <c r="R11" i="22"/>
  <c r="O11" i="22" s="1"/>
  <c r="AQ11" i="22"/>
  <c r="AR11" i="22"/>
  <c r="AS11" i="22" s="1"/>
  <c r="J12" i="22"/>
  <c r="R12" i="22"/>
  <c r="O12" i="22" s="1"/>
  <c r="AQ12" i="22"/>
  <c r="AR12" i="22"/>
  <c r="AS12" i="22" s="1"/>
  <c r="J13" i="22"/>
  <c r="R13" i="22"/>
  <c r="O13" i="22" s="1"/>
  <c r="AQ13" i="22"/>
  <c r="AR13" i="22"/>
  <c r="AS13" i="22" s="1"/>
  <c r="J14" i="22"/>
  <c r="R14" i="22"/>
  <c r="O14" i="22" s="1"/>
  <c r="AQ14" i="22"/>
  <c r="AR14" i="22"/>
  <c r="AS14" i="22" s="1"/>
  <c r="J15" i="22"/>
  <c r="AQ15" i="22"/>
  <c r="AR15" i="22"/>
  <c r="AS15" i="22" s="1"/>
  <c r="J16" i="22"/>
  <c r="AQ16" i="22"/>
  <c r="AR16" i="22"/>
  <c r="AS16" i="22" s="1"/>
  <c r="K17" i="22"/>
  <c r="L17" i="22"/>
  <c r="M17" i="22"/>
  <c r="N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AI17" i="22"/>
  <c r="AJ17" i="22"/>
  <c r="AK17" i="22"/>
  <c r="AR17" i="22" l="1"/>
  <c r="AS4" i="22"/>
  <c r="AQ17" i="22"/>
  <c r="AS17" i="22"/>
  <c r="O17" i="22"/>
  <c r="H50" i="23" l="1"/>
  <c r="H29" i="23"/>
  <c r="AK17" i="23"/>
  <c r="AJ17" i="23"/>
  <c r="AI17" i="23"/>
  <c r="AH17" i="23"/>
  <c r="AG17" i="23"/>
  <c r="AF17" i="23"/>
  <c r="AE17" i="23"/>
  <c r="AD17" i="23"/>
  <c r="AC17" i="23"/>
  <c r="AB17" i="23"/>
  <c r="AA17" i="23"/>
  <c r="Z17" i="23"/>
  <c r="Y17" i="23"/>
  <c r="X17" i="23"/>
  <c r="W17" i="23"/>
  <c r="V17" i="23"/>
  <c r="N17" i="23"/>
  <c r="M17" i="23"/>
  <c r="L17" i="23"/>
  <c r="K17" i="23"/>
  <c r="AR16" i="23"/>
  <c r="AS16" i="23" s="1"/>
  <c r="AQ16" i="23"/>
  <c r="J16" i="23"/>
  <c r="AR15" i="23"/>
  <c r="AS15" i="23" s="1"/>
  <c r="AQ15" i="23"/>
  <c r="J15" i="23"/>
  <c r="AR14" i="23"/>
  <c r="AS14" i="23" s="1"/>
  <c r="AQ14" i="23"/>
  <c r="R14" i="23"/>
  <c r="O14" i="23" s="1"/>
  <c r="J14" i="23"/>
  <c r="AR13" i="23"/>
  <c r="AS13" i="23" s="1"/>
  <c r="AQ13" i="23"/>
  <c r="R13" i="23"/>
  <c r="O13" i="23" s="1"/>
  <c r="J13" i="23"/>
  <c r="AR12" i="23"/>
  <c r="AS12" i="23" s="1"/>
  <c r="AQ12" i="23"/>
  <c r="R12" i="23"/>
  <c r="O12" i="23" s="1"/>
  <c r="J12" i="23"/>
  <c r="AR11" i="23"/>
  <c r="AS11" i="23" s="1"/>
  <c r="AQ11" i="23"/>
  <c r="R11" i="23"/>
  <c r="O11" i="23" s="1"/>
  <c r="J11" i="23"/>
  <c r="AR10" i="23"/>
  <c r="AQ10" i="23"/>
  <c r="R10" i="23"/>
  <c r="O10" i="23" s="1"/>
  <c r="J10" i="23"/>
  <c r="AR9" i="23"/>
  <c r="AS9" i="23" s="1"/>
  <c r="AQ9" i="23"/>
  <c r="R9" i="23"/>
  <c r="O9" i="23" s="1"/>
  <c r="J9" i="23"/>
  <c r="AR8" i="23"/>
  <c r="AS8" i="23" s="1"/>
  <c r="AQ8" i="23"/>
  <c r="R8" i="23"/>
  <c r="O8" i="23" s="1"/>
  <c r="J8" i="23"/>
  <c r="AR7" i="23"/>
  <c r="AS7" i="23" s="1"/>
  <c r="AQ7" i="23"/>
  <c r="R7" i="23"/>
  <c r="O7" i="23" s="1"/>
  <c r="J7" i="23"/>
  <c r="AR6" i="23"/>
  <c r="AS6" i="23" s="1"/>
  <c r="AQ6" i="23"/>
  <c r="R6" i="23"/>
  <c r="O6" i="23" s="1"/>
  <c r="J6" i="23"/>
  <c r="AR5" i="23"/>
  <c r="AS5" i="23" s="1"/>
  <c r="AQ5" i="23"/>
  <c r="J5" i="23"/>
  <c r="BA4" i="23"/>
  <c r="AR4" i="23"/>
  <c r="AS4" i="23" s="1"/>
  <c r="AQ4" i="23"/>
  <c r="R4" i="23"/>
  <c r="O4" i="23" s="1"/>
  <c r="J4" i="23"/>
  <c r="AR3" i="23"/>
  <c r="AQ3" i="23"/>
  <c r="R3" i="23"/>
  <c r="O3" i="23" s="1"/>
  <c r="J3" i="23"/>
  <c r="AQ17" i="23" l="1"/>
  <c r="H51" i="23" s="1"/>
  <c r="H52" i="23" s="1"/>
  <c r="AR17" i="23"/>
  <c r="O17" i="23"/>
  <c r="AS3" i="23"/>
  <c r="AS17" i="23" s="1"/>
  <c r="H30" i="23" s="1"/>
  <c r="H31" i="23" s="1"/>
  <c r="D25" i="1" l="1"/>
  <c r="D47" i="1" l="1"/>
  <c r="E25" i="1"/>
  <c r="E47" i="1" l="1"/>
  <c r="F47" i="1" s="1"/>
  <c r="G47" i="1" s="1"/>
  <c r="P10" i="18"/>
  <c r="E13" i="15" l="1"/>
  <c r="F13" i="15" s="1"/>
  <c r="K16" i="11" l="1"/>
  <c r="K3" i="11" l="1"/>
  <c r="K4" i="11"/>
  <c r="H50" i="22" l="1"/>
  <c r="H52" i="22" s="1"/>
  <c r="F15" i="2" l="1"/>
  <c r="G15" i="2" s="1"/>
  <c r="F14" i="2"/>
  <c r="G14" i="2" s="1"/>
  <c r="D20" i="1" l="1"/>
  <c r="D46" i="1" s="1"/>
  <c r="D45" i="1"/>
  <c r="F45" i="1" l="1"/>
  <c r="G45" i="1" s="1"/>
  <c r="Q13" i="13"/>
  <c r="H29" i="22" l="1"/>
  <c r="E16" i="15" l="1"/>
  <c r="F16" i="15" s="1"/>
  <c r="H8" i="20" l="1"/>
  <c r="G8" i="20"/>
  <c r="I7" i="20"/>
  <c r="I8" i="20" s="1"/>
  <c r="C8" i="20"/>
  <c r="J8" i="20" l="1"/>
  <c r="K7" i="11"/>
  <c r="K8" i="11"/>
  <c r="K6" i="11"/>
  <c r="J8" i="11"/>
  <c r="J7" i="11"/>
  <c r="J6" i="11"/>
  <c r="I33" i="18" l="1"/>
  <c r="H33" i="18"/>
  <c r="J32" i="18"/>
  <c r="J31" i="18"/>
  <c r="J33" i="18" l="1"/>
  <c r="R26" i="18" l="1"/>
  <c r="O26" i="18"/>
  <c r="L26" i="18"/>
  <c r="E12" i="16" l="1"/>
  <c r="F12" i="16" s="1"/>
  <c r="E22" i="15"/>
  <c r="F22" i="15" s="1"/>
  <c r="E20" i="1" l="1"/>
  <c r="E46" i="1" l="1"/>
  <c r="F46" i="1" s="1"/>
  <c r="G46" i="1" s="1"/>
  <c r="F20" i="1"/>
  <c r="G20" i="1"/>
  <c r="L47" i="11"/>
  <c r="F47" i="11"/>
  <c r="M44" i="11"/>
  <c r="G44" i="11"/>
  <c r="E32" i="15" l="1"/>
  <c r="F32" i="15" s="1"/>
  <c r="F3" i="2" l="1"/>
  <c r="C25" i="15" l="1"/>
  <c r="E19" i="15"/>
  <c r="F19" i="15" s="1"/>
  <c r="L4" i="11" l="1"/>
  <c r="M4" i="11" s="1"/>
  <c r="L6" i="11"/>
  <c r="L7" i="11"/>
  <c r="M7" i="11" s="1"/>
  <c r="L8" i="11"/>
  <c r="L9" i="11"/>
  <c r="L10" i="11"/>
  <c r="L11" i="11"/>
  <c r="L12" i="11"/>
  <c r="L13" i="11"/>
  <c r="L14" i="11"/>
  <c r="L15" i="11"/>
  <c r="L16" i="11"/>
  <c r="L18" i="11"/>
  <c r="L19" i="11"/>
  <c r="L20" i="11"/>
  <c r="L21" i="11"/>
  <c r="L22" i="11"/>
  <c r="L23" i="11"/>
  <c r="L24" i="11"/>
  <c r="L25" i="11"/>
  <c r="L26" i="11"/>
  <c r="L28" i="11"/>
  <c r="L29" i="11"/>
  <c r="L30" i="11"/>
  <c r="L31" i="11"/>
  <c r="L32" i="11"/>
  <c r="L33" i="11"/>
  <c r="M3" i="11"/>
  <c r="J4" i="11"/>
  <c r="J5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" i="11"/>
  <c r="G4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" i="11"/>
  <c r="K9" i="11"/>
  <c r="K10" i="11"/>
  <c r="K11" i="11"/>
  <c r="K12" i="11"/>
  <c r="K13" i="11"/>
  <c r="K14" i="11"/>
  <c r="K15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M25" i="11" l="1"/>
  <c r="M28" i="11"/>
  <c r="M24" i="11"/>
  <c r="M10" i="11"/>
  <c r="M12" i="11"/>
  <c r="M11" i="11"/>
  <c r="M9" i="11"/>
  <c r="M26" i="11"/>
  <c r="M22" i="11"/>
  <c r="M21" i="11"/>
  <c r="M17" i="11"/>
  <c r="M23" i="11"/>
  <c r="M33" i="11"/>
  <c r="M32" i="11"/>
  <c r="M31" i="11"/>
  <c r="M29" i="11"/>
  <c r="M30" i="11"/>
  <c r="M27" i="11"/>
  <c r="M20" i="11"/>
  <c r="M19" i="11"/>
  <c r="M18" i="11"/>
  <c r="M15" i="11"/>
  <c r="M16" i="11"/>
  <c r="M14" i="11"/>
  <c r="M13" i="11"/>
  <c r="M6" i="11"/>
  <c r="L34" i="11"/>
  <c r="M8" i="11"/>
  <c r="J34" i="11"/>
  <c r="D34" i="11"/>
  <c r="E18" i="15" l="1"/>
  <c r="F18" i="15" s="1"/>
  <c r="M43" i="11" l="1"/>
  <c r="G43" i="11"/>
  <c r="F21" i="4" l="1"/>
  <c r="G21" i="4" s="1"/>
  <c r="E40" i="15" l="1"/>
  <c r="F40" i="15" s="1"/>
  <c r="E41" i="15"/>
  <c r="E42" i="15"/>
  <c r="F42" i="15" s="1"/>
  <c r="E17" i="15"/>
  <c r="F17" i="15" s="1"/>
  <c r="E20" i="15"/>
  <c r="F20" i="15" s="1"/>
  <c r="E21" i="15"/>
  <c r="F21" i="15" s="1"/>
  <c r="E23" i="15"/>
  <c r="F23" i="15" s="1"/>
  <c r="E24" i="15"/>
  <c r="F24" i="15" s="1"/>
  <c r="D43" i="15"/>
  <c r="C43" i="15"/>
  <c r="E7" i="15"/>
  <c r="F41" i="15" l="1"/>
  <c r="F7" i="4" l="1"/>
  <c r="G7" i="4" s="1"/>
  <c r="E9" i="14" l="1"/>
  <c r="F9" i="14" s="1"/>
  <c r="E6" i="14"/>
  <c r="F6" i="14" s="1"/>
  <c r="D7" i="2" l="1"/>
  <c r="D9" i="2" s="1"/>
  <c r="E7" i="2"/>
  <c r="E15" i="15" l="1"/>
  <c r="F15" i="15" s="1"/>
  <c r="C35" i="15" l="1"/>
  <c r="C54" i="15" l="1"/>
  <c r="C8" i="15"/>
  <c r="E17" i="2"/>
  <c r="D30" i="1" l="1"/>
  <c r="D35" i="1"/>
  <c r="D40" i="1" l="1"/>
  <c r="D48" i="1"/>
  <c r="E48" i="1"/>
  <c r="E49" i="1" s="1"/>
  <c r="F10" i="1"/>
  <c r="D34" i="1"/>
  <c r="D33" i="1" s="1"/>
  <c r="F16" i="2"/>
  <c r="G16" i="2" s="1"/>
  <c r="F13" i="2"/>
  <c r="F5" i="2"/>
  <c r="G5" i="2" s="1"/>
  <c r="F48" i="1" l="1"/>
  <c r="G48" i="1" s="1"/>
  <c r="D49" i="1"/>
  <c r="F49" i="1" s="1"/>
  <c r="G49" i="1" s="1"/>
  <c r="E3" i="19"/>
  <c r="F3" i="19" s="1"/>
  <c r="E3" i="18"/>
  <c r="F3" i="18" s="1"/>
  <c r="M51" i="11"/>
  <c r="D39" i="1" l="1"/>
  <c r="F40" i="1"/>
  <c r="G40" i="1" s="1"/>
  <c r="F38" i="1"/>
  <c r="G38" i="1" s="1"/>
  <c r="G37" i="1"/>
  <c r="F35" i="1"/>
  <c r="G35" i="1" s="1"/>
  <c r="F34" i="1"/>
  <c r="G34" i="1" s="1"/>
  <c r="F33" i="1"/>
  <c r="G33" i="1" s="1"/>
  <c r="F39" i="1" l="1"/>
  <c r="G39" i="1" s="1"/>
  <c r="D41" i="1"/>
  <c r="D29" i="5" l="1"/>
  <c r="F13" i="1" l="1"/>
  <c r="G13" i="1" s="1"/>
  <c r="F15" i="1"/>
  <c r="G15" i="1" s="1"/>
  <c r="F8" i="1"/>
  <c r="F4" i="1"/>
  <c r="F3" i="1"/>
  <c r="E52" i="15"/>
  <c r="F52" i="15" s="1"/>
  <c r="F45" i="11"/>
  <c r="E45" i="11"/>
  <c r="K46" i="11"/>
  <c r="K47" i="11" s="1"/>
  <c r="E47" i="11"/>
  <c r="M46" i="11" l="1"/>
  <c r="M47" i="11" s="1"/>
  <c r="E35" i="5"/>
  <c r="F35" i="5"/>
  <c r="D35" i="5"/>
  <c r="E9" i="16" l="1"/>
  <c r="F9" i="16" s="1"/>
  <c r="D13" i="14"/>
  <c r="C13" i="14"/>
  <c r="E12" i="14"/>
  <c r="F12" i="14" s="1"/>
  <c r="E11" i="14"/>
  <c r="F11" i="14" s="1"/>
  <c r="E10" i="14"/>
  <c r="F10" i="14" s="1"/>
  <c r="E8" i="14"/>
  <c r="F8" i="14" s="1"/>
  <c r="E7" i="14"/>
  <c r="F7" i="14" s="1"/>
  <c r="E5" i="14"/>
  <c r="F5" i="14" s="1"/>
  <c r="E13" i="14" l="1"/>
  <c r="F13" i="14" s="1"/>
  <c r="F2" i="5" l="1"/>
  <c r="G2" i="5" s="1"/>
  <c r="E39" i="15" l="1"/>
  <c r="F39" i="15" s="1"/>
  <c r="E30" i="15"/>
  <c r="F30" i="15" s="1"/>
  <c r="E31" i="15"/>
  <c r="F31" i="15" s="1"/>
  <c r="E33" i="15"/>
  <c r="F33" i="15" s="1"/>
  <c r="E34" i="15"/>
  <c r="F34" i="15" s="1"/>
  <c r="E29" i="15"/>
  <c r="F29" i="15" s="1"/>
  <c r="E12" i="15"/>
  <c r="E54" i="15" l="1"/>
  <c r="F54" i="15" s="1"/>
  <c r="E35" i="15"/>
  <c r="F35" i="15" s="1"/>
  <c r="E43" i="15"/>
  <c r="F43" i="15" s="1"/>
  <c r="F12" i="15"/>
  <c r="F6" i="4"/>
  <c r="G6" i="4" s="1"/>
  <c r="F8" i="4"/>
  <c r="F9" i="4"/>
  <c r="G9" i="4" s="1"/>
  <c r="F11" i="4"/>
  <c r="F12" i="4"/>
  <c r="F13" i="4"/>
  <c r="F14" i="4"/>
  <c r="F15" i="4"/>
  <c r="F17" i="4"/>
  <c r="F18" i="4"/>
  <c r="F20" i="4"/>
  <c r="F22" i="4"/>
  <c r="F23" i="4"/>
  <c r="F24" i="4"/>
  <c r="F25" i="4"/>
  <c r="F26" i="4"/>
  <c r="D17" i="2"/>
  <c r="E9" i="2"/>
  <c r="F6" i="2"/>
  <c r="G6" i="2" s="1"/>
  <c r="F4" i="2"/>
  <c r="F8" i="2"/>
  <c r="E4" i="15" l="1"/>
  <c r="G4" i="2"/>
  <c r="F7" i="2"/>
  <c r="G7" i="2" s="1"/>
  <c r="G3" i="2"/>
  <c r="F19" i="4"/>
  <c r="F16" i="4"/>
  <c r="F10" i="4"/>
  <c r="F5" i="4"/>
  <c r="G25" i="1"/>
  <c r="E14" i="15"/>
  <c r="F14" i="15" s="1"/>
  <c r="F36" i="1" l="1"/>
  <c r="E41" i="1"/>
  <c r="F41" i="1" s="1"/>
  <c r="G41" i="1" s="1"/>
  <c r="E25" i="15"/>
  <c r="G36" i="1"/>
  <c r="F27" i="4"/>
  <c r="F9" i="2"/>
  <c r="G9" i="2" s="1"/>
  <c r="E4" i="16"/>
  <c r="F4" i="16" s="1"/>
  <c r="E3" i="16"/>
  <c r="F3" i="16" s="1"/>
  <c r="E5" i="15"/>
  <c r="F5" i="15" s="1"/>
  <c r="F4" i="15"/>
  <c r="E3" i="15"/>
  <c r="E8" i="15" l="1"/>
  <c r="F8" i="15" s="1"/>
  <c r="F3" i="15"/>
  <c r="F25" i="15"/>
  <c r="E5" i="16"/>
  <c r="F5" i="16" s="1"/>
  <c r="G47" i="11" l="1"/>
  <c r="G46" i="11"/>
  <c r="E41" i="11"/>
  <c r="M41" i="11"/>
  <c r="L41" i="11"/>
  <c r="K41" i="11"/>
  <c r="J41" i="11"/>
  <c r="J42" i="11" s="1"/>
  <c r="I41" i="11"/>
  <c r="I42" i="11" s="1"/>
  <c r="H41" i="11"/>
  <c r="H42" i="11" s="1"/>
  <c r="G41" i="11"/>
  <c r="F41" i="11"/>
  <c r="F42" i="11" s="1"/>
  <c r="L45" i="11"/>
  <c r="K45" i="11"/>
  <c r="J45" i="11"/>
  <c r="I45" i="11"/>
  <c r="H45" i="11"/>
  <c r="L42" i="11" l="1"/>
  <c r="L48" i="11"/>
  <c r="M45" i="11"/>
  <c r="H48" i="11"/>
  <c r="I48" i="11"/>
  <c r="F48" i="11"/>
  <c r="G45" i="11"/>
  <c r="J48" i="11"/>
  <c r="L53" i="11" l="1"/>
  <c r="F17" i="2" l="1"/>
  <c r="G17" i="2" s="1"/>
  <c r="G13" i="2" l="1"/>
  <c r="D6" i="5"/>
  <c r="F3" i="5" l="1"/>
  <c r="G3" i="5" s="1"/>
  <c r="F4" i="5"/>
  <c r="G4" i="5" s="1"/>
  <c r="F5" i="5"/>
  <c r="G5" i="5" s="1"/>
  <c r="F6" i="5"/>
  <c r="G6" i="5" s="1"/>
  <c r="G15" i="4" l="1"/>
  <c r="G26" i="4"/>
  <c r="G25" i="4"/>
  <c r="G24" i="4"/>
  <c r="G23" i="4"/>
  <c r="G22" i="4"/>
  <c r="G20" i="4"/>
  <c r="G17" i="4"/>
  <c r="G14" i="4"/>
  <c r="G13" i="4"/>
  <c r="G12" i="4"/>
  <c r="G11" i="4"/>
  <c r="D16" i="4"/>
  <c r="G10" i="4"/>
  <c r="D10" i="4"/>
  <c r="G8" i="4"/>
  <c r="D19" i="4"/>
  <c r="D27" i="4" l="1"/>
  <c r="G19" i="4"/>
  <c r="G16" i="4"/>
  <c r="G18" i="4"/>
  <c r="G27" i="4" l="1"/>
  <c r="G5" i="4"/>
  <c r="F14" i="1"/>
  <c r="G14" i="1" s="1"/>
  <c r="F19" i="1"/>
  <c r="G19" i="1" s="1"/>
  <c r="F18" i="1"/>
  <c r="G18" i="1" s="1"/>
  <c r="F17" i="1"/>
  <c r="G17" i="1" s="1"/>
  <c r="F16" i="1"/>
  <c r="G16" i="1" s="1"/>
  <c r="F29" i="1"/>
  <c r="F28" i="1"/>
  <c r="F24" i="1"/>
  <c r="F23" i="1"/>
  <c r="F5" i="1"/>
  <c r="F6" i="1"/>
  <c r="F7" i="1"/>
  <c r="F9" i="1"/>
  <c r="G29" i="1"/>
  <c r="G28" i="1"/>
  <c r="G24" i="1"/>
  <c r="G23" i="1"/>
  <c r="G4" i="1"/>
  <c r="G5" i="1"/>
  <c r="G6" i="1"/>
  <c r="G7" i="1"/>
  <c r="G8" i="1"/>
  <c r="G9" i="1"/>
  <c r="G3" i="1"/>
  <c r="F25" i="1" l="1"/>
  <c r="F30" i="1"/>
  <c r="G30" i="1"/>
  <c r="G10" i="1"/>
  <c r="H31" i="22"/>
  <c r="G5" i="11"/>
  <c r="G34" i="11" s="1"/>
  <c r="G42" i="11" s="1"/>
  <c r="K5" i="11"/>
  <c r="M5" i="11" s="1"/>
  <c r="M34" i="11" s="1"/>
  <c r="E48" i="11" l="1"/>
  <c r="M42" i="11"/>
  <c r="M48" i="11"/>
  <c r="M53" i="11" s="1"/>
  <c r="G48" i="11"/>
  <c r="E42" i="11"/>
  <c r="K34" i="11"/>
  <c r="K48" i="11" l="1"/>
  <c r="K42" i="11"/>
  <c r="K53" i="11" l="1"/>
</calcChain>
</file>

<file path=xl/comments1.xml><?xml version="1.0" encoding="utf-8"?>
<comments xmlns="http://schemas.openxmlformats.org/spreadsheetml/2006/main">
  <authors>
    <author>Gerardo Cordero Arguedas</author>
  </authors>
  <commentList>
    <comment ref="AR2" authorId="0" shapeId="0">
      <text>
        <r>
          <rPr>
            <b/>
            <sz val="9"/>
            <color indexed="81"/>
            <rFont val="Tahoma"/>
            <family val="2"/>
          </rPr>
          <t>Gerardo Cordero Arguedas:</t>
        </r>
        <r>
          <rPr>
            <sz val="9"/>
            <color indexed="81"/>
            <rFont val="Tahoma"/>
            <family val="2"/>
          </rPr>
          <t xml:space="preserve">
Incluye registros del 2023 y 2024
</t>
        </r>
      </text>
    </comment>
  </commentList>
</comments>
</file>

<file path=xl/comments2.xml><?xml version="1.0" encoding="utf-8"?>
<comments xmlns="http://schemas.openxmlformats.org/spreadsheetml/2006/main">
  <authors>
    <author>Gerardo Cordero Arguedas</author>
  </authors>
  <commentList>
    <comment ref="AR2" authorId="0" shapeId="0">
      <text>
        <r>
          <rPr>
            <b/>
            <sz val="9"/>
            <color indexed="81"/>
            <rFont val="Tahoma"/>
            <family val="2"/>
          </rPr>
          <t>Gerardo Cordero Arguedas:</t>
        </r>
        <r>
          <rPr>
            <sz val="9"/>
            <color indexed="81"/>
            <rFont val="Tahoma"/>
            <family val="2"/>
          </rPr>
          <t xml:space="preserve">
Incluye registros del 2023 y 2024
</t>
        </r>
      </text>
    </comment>
  </commentList>
</comments>
</file>

<file path=xl/comments3.xml><?xml version="1.0" encoding="utf-8"?>
<comments xmlns="http://schemas.openxmlformats.org/spreadsheetml/2006/main">
  <authors>
    <author>Gerardo Cordero Arguedas</author>
  </authors>
  <commentList>
    <comment ref="AR2" authorId="0" shapeId="0">
      <text>
        <r>
          <rPr>
            <b/>
            <sz val="9"/>
            <color indexed="81"/>
            <rFont val="Tahoma"/>
            <family val="2"/>
          </rPr>
          <t>Gerardo Cordero Arguedas:</t>
        </r>
        <r>
          <rPr>
            <sz val="9"/>
            <color indexed="81"/>
            <rFont val="Tahoma"/>
            <family val="2"/>
          </rPr>
          <t xml:space="preserve">
Incluye registros del 2023 y 2024
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>Gerardo Cordero Arguedas:</t>
        </r>
        <r>
          <rPr>
            <sz val="9"/>
            <color indexed="81"/>
            <rFont val="Tahoma"/>
            <family val="2"/>
          </rPr>
          <t xml:space="preserve">
comienza  el nuevo año</t>
        </r>
      </text>
    </comment>
    <comment ref="O27" authorId="0" shapeId="0">
      <text>
        <r>
          <rPr>
            <b/>
            <sz val="9"/>
            <color indexed="81"/>
            <rFont val="Tahoma"/>
            <family val="2"/>
          </rPr>
          <t>Gerardo Cordero Arguedas:</t>
        </r>
        <r>
          <rPr>
            <sz val="9"/>
            <color indexed="81"/>
            <rFont val="Tahoma"/>
            <family val="2"/>
          </rPr>
          <t xml:space="preserve">
comienza  el nuevo año</t>
        </r>
      </text>
    </comment>
  </commentList>
</comments>
</file>

<file path=xl/comments4.xml><?xml version="1.0" encoding="utf-8"?>
<comments xmlns="http://schemas.openxmlformats.org/spreadsheetml/2006/main">
  <authors>
    <author>Gerardo Cordero Arguedas</author>
  </authors>
  <commentList>
    <comment ref="AR2" authorId="0" shapeId="0">
      <text>
        <r>
          <rPr>
            <b/>
            <sz val="9"/>
            <color indexed="81"/>
            <rFont val="Tahoma"/>
            <family val="2"/>
          </rPr>
          <t>Gerardo Cordero Arguedas:</t>
        </r>
        <r>
          <rPr>
            <sz val="9"/>
            <color indexed="81"/>
            <rFont val="Tahoma"/>
            <family val="2"/>
          </rPr>
          <t xml:space="preserve">
Incluye registros del 2023 y 2024
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>Gerardo Cordero Arguedas:</t>
        </r>
        <r>
          <rPr>
            <sz val="9"/>
            <color indexed="81"/>
            <rFont val="Tahoma"/>
            <family val="2"/>
          </rPr>
          <t xml:space="preserve">
comienza  el nuevo año</t>
        </r>
      </text>
    </comment>
    <comment ref="O27" authorId="0" shapeId="0">
      <text>
        <r>
          <rPr>
            <b/>
            <sz val="9"/>
            <color indexed="81"/>
            <rFont val="Tahoma"/>
            <family val="2"/>
          </rPr>
          <t>Gerardo Cordero Arguedas:</t>
        </r>
        <r>
          <rPr>
            <sz val="9"/>
            <color indexed="81"/>
            <rFont val="Tahoma"/>
            <family val="2"/>
          </rPr>
          <t xml:space="preserve">
comienza  el nuevo año</t>
        </r>
      </text>
    </comment>
  </commentList>
</comments>
</file>

<file path=xl/comments5.xml><?xml version="1.0" encoding="utf-8"?>
<comments xmlns="http://schemas.openxmlformats.org/spreadsheetml/2006/main">
  <authors>
    <author>Gerardo Cordero Arguedas</author>
  </authors>
  <commentList>
    <comment ref="AQ2" authorId="0" shapeId="0">
      <text>
        <r>
          <rPr>
            <b/>
            <sz val="9"/>
            <color indexed="81"/>
            <rFont val="Tahoma"/>
            <family val="2"/>
          </rPr>
          <t>Gerardo Cordero Arguedas:</t>
        </r>
        <r>
          <rPr>
            <sz val="9"/>
            <color indexed="81"/>
            <rFont val="Tahoma"/>
            <family val="2"/>
          </rPr>
          <t xml:space="preserve">
total gasto del periodo
</t>
        </r>
      </text>
    </comment>
    <comment ref="AR2" authorId="0" shapeId="0">
      <text>
        <r>
          <rPr>
            <b/>
            <sz val="9"/>
            <color indexed="81"/>
            <rFont val="Tahoma"/>
            <family val="2"/>
          </rPr>
          <t>Gerardo Cordero Arguedas:</t>
        </r>
        <r>
          <rPr>
            <sz val="9"/>
            <color indexed="81"/>
            <rFont val="Tahoma"/>
            <family val="2"/>
          </rPr>
          <t xml:space="preserve">
Incluye registros del 2023 y 2024
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>Gerardo Cordero Arguedas:</t>
        </r>
        <r>
          <rPr>
            <sz val="9"/>
            <color indexed="81"/>
            <rFont val="Tahoma"/>
            <family val="2"/>
          </rPr>
          <t xml:space="preserve">
comienza  el nuevo año</t>
        </r>
      </text>
    </comment>
    <comment ref="O27" authorId="0" shapeId="0">
      <text>
        <r>
          <rPr>
            <b/>
            <sz val="9"/>
            <color indexed="81"/>
            <rFont val="Tahoma"/>
            <family val="2"/>
          </rPr>
          <t>Gerardo Cordero Arguedas:</t>
        </r>
        <r>
          <rPr>
            <sz val="9"/>
            <color indexed="81"/>
            <rFont val="Tahoma"/>
            <family val="2"/>
          </rPr>
          <t xml:space="preserve">
comienza  el nuevo año</t>
        </r>
      </text>
    </comment>
  </commentList>
</comments>
</file>

<file path=xl/sharedStrings.xml><?xml version="1.0" encoding="utf-8"?>
<sst xmlns="http://schemas.openxmlformats.org/spreadsheetml/2006/main" count="2229" uniqueCount="708">
  <si>
    <t>Periodo Actual</t>
  </si>
  <si>
    <t>Periodo Anterior</t>
  </si>
  <si>
    <t>Diferencia %</t>
  </si>
  <si>
    <t>460-0000975-0 B.C.R. (Timbres Municipales)</t>
  </si>
  <si>
    <t>001-03630617 B.C.R. Cuenta General</t>
  </si>
  <si>
    <t>100-01-038-000023-8 B.N.C.R (GENENAL)</t>
  </si>
  <si>
    <t>100-01-038-001203-5 B.N.C.R (FODESAF)</t>
  </si>
  <si>
    <t>100-01-038-001185-4 B.N.C.R (JUDESUR)</t>
  </si>
  <si>
    <t>100-01-038-001296-9 B.N.C.R (LEY 8114)</t>
  </si>
  <si>
    <t>Cuenta 1640-3 B.N.C.R. GARANTIAS</t>
  </si>
  <si>
    <t>TOTALES</t>
  </si>
  <si>
    <t>Monto</t>
  </si>
  <si>
    <t>73900011460301024(LEY 7755 PART.ESP CTA CAJA UNICA ESTADO)</t>
  </si>
  <si>
    <t>73900011460301018 (8114 CTA CAJA UNICA ESTADO)</t>
  </si>
  <si>
    <t>73900011460301030 (CTA GRAL CAJA UNICA DEL ESTADO)</t>
  </si>
  <si>
    <t>73911360300019081 (RED DE CUIDO - FODESAF)</t>
  </si>
  <si>
    <t>73911360300039236 CTA CAJA UNICA ESTADO (RECURSOS PROPIOS)</t>
  </si>
  <si>
    <t>Cuenta Caja Única del Estado CR 4073911360300078288 Préstamo I</t>
  </si>
  <si>
    <t>Cuenta Caja Única CR88073930603000032221 Impuesto al Cemento</t>
  </si>
  <si>
    <t>TOTAL</t>
  </si>
  <si>
    <t xml:space="preserve"> </t>
  </si>
  <si>
    <t>Cajas Chicas en el País</t>
  </si>
  <si>
    <t>Fondos Rotatorios en el Sector Público</t>
  </si>
  <si>
    <t>Fondo Inversión Banco de Costa Rica</t>
  </si>
  <si>
    <t>Fondo Inversión Banco Nacional de Costa Rica</t>
  </si>
  <si>
    <t>Variación %</t>
  </si>
  <si>
    <t>Variación Absoluta</t>
  </si>
  <si>
    <t xml:space="preserve">Cuenta </t>
  </si>
  <si>
    <t>Cuenta</t>
  </si>
  <si>
    <t>Nombre</t>
  </si>
  <si>
    <t>Diferencia Absoluta</t>
  </si>
  <si>
    <t>1.1.3.01</t>
  </si>
  <si>
    <t>1.1.3.04</t>
  </si>
  <si>
    <t>1.1.3.06</t>
  </si>
  <si>
    <t>1.1.3.98</t>
  </si>
  <si>
    <t>SUBTOTALES</t>
  </si>
  <si>
    <t>1.1.3.99.</t>
  </si>
  <si>
    <t>Previsiones para deterioro de cuentas a cobrar a corto plazo *</t>
  </si>
  <si>
    <t>Ministerio de Hacienda</t>
  </si>
  <si>
    <t>CODIGO INSTITUCIONAL</t>
  </si>
  <si>
    <t>Aporte IFAM Licores Nacionales y Extranjeros</t>
  </si>
  <si>
    <t>TOTAL </t>
  </si>
  <si>
    <t>Clase</t>
  </si>
  <si>
    <t>Nivel de Riesgo</t>
  </si>
  <si>
    <t>Descripción</t>
  </si>
  <si>
    <t>Monto por cobrar</t>
  </si>
  <si>
    <t>Estimación</t>
  </si>
  <si>
    <t>B</t>
  </si>
  <si>
    <t>RIESGO MEDIO</t>
  </si>
  <si>
    <t>La categoría B) se aplica a deudores con moras entre tres y cuatro trimestres. No se esperan pérdidas significativas.</t>
  </si>
  <si>
    <t>C</t>
  </si>
  <si>
    <t>RIESGO ALTO – NIVEL 1</t>
  </si>
  <si>
    <t>Esta categoría clasifica a los deudores con moras entre cinco y ocho trimestres. Se estima que se podría materializar una pérdida del 30% del monto de la cartera que presente este nivel de morosidad.</t>
  </si>
  <si>
    <t>D</t>
  </si>
  <si>
    <t xml:space="preserve">RIESGO ALTO – NIVEL 2 </t>
  </si>
  <si>
    <t>Esta categoría se aplica a deudores que presentan entre nueve y doce trimestres de atraso en el pago de sus obligaciones.  Se estima que se podría materializar una pérdida del 50% del monto de la cartera que presente este nivel de morosidad.</t>
  </si>
  <si>
    <t>E</t>
  </si>
  <si>
    <t>RIESGO ALTO – NIVEL 3</t>
  </si>
  <si>
    <t>Esta categoría se aplica a deudores que presentan entre trece y dieciséis trimestres de atraso en el pago de sus obligaciones.  Se estima que se podría materializar una pérdida del 65% del monto de la cartera que presente este nivel de morosidad.</t>
  </si>
  <si>
    <t>F</t>
  </si>
  <si>
    <t>RIESGO ALTO – NIVEL 4</t>
  </si>
  <si>
    <t>Esta categoría se aplica a deudores que presentan más de dieciséis trimestres de atraso en el pago de sus obligaciones.  Se estima que se podría materializar una pérdida del 85% del monto de la cartera que presente este nivel de morosidad.</t>
  </si>
  <si>
    <t>En miles de colones</t>
  </si>
  <si>
    <t>Código</t>
  </si>
  <si>
    <t>1.1.4.01.01.</t>
  </si>
  <si>
    <t>Productos químicos y conexos</t>
  </si>
  <si>
    <t>1.1.4.01.01.04.</t>
  </si>
  <si>
    <t>Tintas, pinturas y diluyentes</t>
  </si>
  <si>
    <t>1.1.4.01.99.</t>
  </si>
  <si>
    <t>Útiles, materiales y suministros diversos</t>
  </si>
  <si>
    <t>1.1.4.01.99.01.</t>
  </si>
  <si>
    <t>Útiles y materiales de oficina y cómputo</t>
  </si>
  <si>
    <t>1.1.4.01.99.03.</t>
  </si>
  <si>
    <t>Productos de papel, cartón e impresos</t>
  </si>
  <si>
    <t>1.1.4.01.99.99.</t>
  </si>
  <si>
    <t>Otros útiles, materiales y suministros diversos</t>
  </si>
  <si>
    <t>Saldo Año Actual</t>
  </si>
  <si>
    <t>Saldo Año Anterior</t>
  </si>
  <si>
    <t>1.1.4.01.01.01.</t>
  </si>
  <si>
    <t>1.1.4.01.01.99.</t>
  </si>
  <si>
    <t>Otros productos químicos y conexos</t>
  </si>
  <si>
    <t>Combustibles y lubricantes</t>
  </si>
  <si>
    <t>1.1.4.01.03.</t>
  </si>
  <si>
    <t>Materiales y productos de uso en la construcción y mantenimiento</t>
  </si>
  <si>
    <t>1.1.4.01.03.01.</t>
  </si>
  <si>
    <t>Materiales y productos metálicos</t>
  </si>
  <si>
    <t>1.1.4.01.03.02.</t>
  </si>
  <si>
    <t>Materiales y productos minerales y asfálticos</t>
  </si>
  <si>
    <t>1.1.4.01.03.03.</t>
  </si>
  <si>
    <t>Madera y sus derivados</t>
  </si>
  <si>
    <t>1.1.4.01.03.04.</t>
  </si>
  <si>
    <t>Materiales y productos eléctricos, telefónicos y de cómputo</t>
  </si>
  <si>
    <t>1.1.4.01.03.06.</t>
  </si>
  <si>
    <t>Materiales y productos de plástico</t>
  </si>
  <si>
    <t>1.1.4.01.04.</t>
  </si>
  <si>
    <t>Herramientas, repuestos y accesorios</t>
  </si>
  <si>
    <t>1.1.4.01.04.01.</t>
  </si>
  <si>
    <t>Herramientas e instrumentos</t>
  </si>
  <si>
    <t>1.1.4.01.04.02.</t>
  </si>
  <si>
    <t>Repuestos y accesorios Nuevos</t>
  </si>
  <si>
    <t>1.1.4.01.99.04.</t>
  </si>
  <si>
    <t>Textiles y vestuario</t>
  </si>
  <si>
    <t>1.1.4.01.99.05.</t>
  </si>
  <si>
    <t>Útiles y materiales de limpieza</t>
  </si>
  <si>
    <t>1.1.4.01.99.06.</t>
  </si>
  <si>
    <t>Útiles y materiales de resguardo y seguridad</t>
  </si>
  <si>
    <t>1.2.5.01</t>
  </si>
  <si>
    <t xml:space="preserve">Propiedades, planta y equipos explotados </t>
  </si>
  <si>
    <t>1.2.5.04</t>
  </si>
  <si>
    <t>Bienes de infraestructura y de beneficio y uso público en servicio</t>
  </si>
  <si>
    <t>1.2.5.08</t>
  </si>
  <si>
    <t>1.2.5.99</t>
  </si>
  <si>
    <t>Bienes no concesionados en proceso de producción</t>
  </si>
  <si>
    <t>1.2.5.01.04.</t>
  </si>
  <si>
    <t xml:space="preserve"> Equipos de transporte, tracción y elevación</t>
  </si>
  <si>
    <t>1.2.5.01.05.</t>
  </si>
  <si>
    <t xml:space="preserve"> Equipos de comunicación</t>
  </si>
  <si>
    <t>1.2.5.01.07.</t>
  </si>
  <si>
    <t xml:space="preserve"> Equipos para computación</t>
  </si>
  <si>
    <t>1.2.5.08.03.</t>
  </si>
  <si>
    <t>Software y programas</t>
  </si>
  <si>
    <t>CANTIDAD</t>
  </si>
  <si>
    <t>COSTO</t>
  </si>
  <si>
    <t>Número de Póliza</t>
  </si>
  <si>
    <t>Tipo de Póliza</t>
  </si>
  <si>
    <t>Plazo de la Póliza</t>
  </si>
  <si>
    <t>Fecha de pago</t>
  </si>
  <si>
    <t>01-01-RT-8801352-</t>
  </si>
  <si>
    <t>Riesgos del Trabajo</t>
  </si>
  <si>
    <t>1 Año</t>
  </si>
  <si>
    <t>Vehículos</t>
  </si>
  <si>
    <t>6 meses</t>
  </si>
  <si>
    <t>01-18-AUM-306-27</t>
  </si>
  <si>
    <t>Monto de Prima</t>
  </si>
  <si>
    <t>*</t>
  </si>
  <si>
    <t>Nombre Entidad</t>
  </si>
  <si>
    <t>NOMBRE CUENTA</t>
  </si>
  <si>
    <t>VARIACIÓN</t>
  </si>
  <si>
    <t>VALOR AÑO ANTERIOR</t>
  </si>
  <si>
    <t>VALOR AÑO ACTUAL</t>
  </si>
  <si>
    <t>DEPRECIACIÓN ACUMULADA AÑO ANTERIOR</t>
  </si>
  <si>
    <t>DEPRECIACIÓN ACUMULADA AÑO ACTUAL</t>
  </si>
  <si>
    <t>VALOR EN LIBROS AÑO ACTUAL</t>
  </si>
  <si>
    <t>VALOR EN LIBROS AÑO ANTERIOR</t>
  </si>
  <si>
    <t>Terrenos</t>
  </si>
  <si>
    <t>Edificios</t>
  </si>
  <si>
    <t>Maquinaria para la construcción</t>
  </si>
  <si>
    <t>Equipos Hidraulicos</t>
  </si>
  <si>
    <t>Equipos de medición</t>
  </si>
  <si>
    <t>Bombas</t>
  </si>
  <si>
    <t>Otra maquinarias y equipos para la producción</t>
  </si>
  <si>
    <t>Plantas Electricas</t>
  </si>
  <si>
    <t>Otros equipos de transporte</t>
  </si>
  <si>
    <t>Antenas radares</t>
  </si>
  <si>
    <t>Equipos de telefonía</t>
  </si>
  <si>
    <t>Equipos de audio video</t>
  </si>
  <si>
    <t>Total Otros equipos de comunicación</t>
  </si>
  <si>
    <t>Archivadores, bibliotecas armarios</t>
  </si>
  <si>
    <t>Mesas escritorios</t>
  </si>
  <si>
    <t>Sillas bancos</t>
  </si>
  <si>
    <t>Aires Acondicionados</t>
  </si>
  <si>
    <t>Otros equipos mobiliario</t>
  </si>
  <si>
    <t>Computadoras (61292,67)</t>
  </si>
  <si>
    <t>Impresoras</t>
  </si>
  <si>
    <t>Monitores</t>
  </si>
  <si>
    <t>UPS</t>
  </si>
  <si>
    <t>Equipos de protección contra incendios</t>
  </si>
  <si>
    <t>Armas</t>
  </si>
  <si>
    <t>Otros equipos de seguridad, orden, vigilancia y control público</t>
  </si>
  <si>
    <t>Equipos mobiliario doméstico</t>
  </si>
  <si>
    <t>Equipos fotográficos de revelado</t>
  </si>
  <si>
    <t>CANTIDAD AÑO ACTUAL</t>
  </si>
  <si>
    <t>CANTIDAD AÑO ANTERIOR</t>
  </si>
  <si>
    <t>Puentes</t>
  </si>
  <si>
    <t>Otras vías de comunicación terrestre</t>
  </si>
  <si>
    <t>Otros bienes de infraestructura y beneficio y uso público en servicio</t>
  </si>
  <si>
    <t>Centrales redes de comunicación energía (m de longitud)</t>
  </si>
  <si>
    <t>Software programas</t>
  </si>
  <si>
    <t>Otros bienes intangibles</t>
  </si>
  <si>
    <t>**</t>
  </si>
  <si>
    <t>Carreteras y caminos Porción terreno (Km de Longitud de superficie)</t>
  </si>
  <si>
    <t>Carreteras y caminos (Terrenos)</t>
  </si>
  <si>
    <t>Nota: * Estos rubros estan siendo revisados para determinar la corrección y cantidad de bienes respectiva.</t>
  </si>
  <si>
    <t xml:space="preserve">        ** Correponde a pagos a desarrollador contratado para el sistema PLAN</t>
  </si>
  <si>
    <t>Ministerio de Hacienda (MHD) </t>
  </si>
  <si>
    <t>Ministerio de Ambiente, Energía y Telecomunicaciones (MINAET) </t>
  </si>
  <si>
    <t> Comision Nacional para la Gestión de la Biodiversidad (CONAGEBIO)</t>
  </si>
  <si>
    <t>Consej Nacional de Personas con discapacidad CONAPDIS</t>
  </si>
  <si>
    <t>Comités Cantonales de Deportes y Recreación</t>
  </si>
  <si>
    <t>Unión Nacional de Gobiernos Locales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</si>
  <si>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</si>
  <si>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</si>
  <si>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</si>
  <si>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</si>
  <si>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</si>
  <si>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</si>
  <si>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Deudas comerciales por adquisición de materiales y suministros para consumo y prestación de servicios c/p</t>
  </si>
  <si>
    <t>Deudas comerciales por adquisición de propiedades, planta y equipos en explotación c/p</t>
  </si>
  <si>
    <t>Contribuciones patronales al desarrollo y la seguridad social a pagar c/p (Aporte Patronal FCL - CCSS)</t>
  </si>
  <si>
    <t>Deudas fiscales c/p - Ministerio de Hacienda (MHD)</t>
  </si>
  <si>
    <t>Transferencias al sector público interno a pagar c/p</t>
  </si>
  <si>
    <t>2.1.3.03.</t>
  </si>
  <si>
    <t>Depósitos en garantía</t>
  </si>
  <si>
    <t>2.1.3.99.</t>
  </si>
  <si>
    <t>Otros fondos de terceros</t>
  </si>
  <si>
    <t>Impuestos a cobrar a corto plazo</t>
  </si>
  <si>
    <t>Servicios y derechos a cobrar a corto plazo</t>
  </si>
  <si>
    <t>Transferencias a cobrar a corto plazo</t>
  </si>
  <si>
    <t>Otras cuentas a cobrar a corto plazo</t>
  </si>
  <si>
    <t>Otros equivalentes de efectivo en el sector público interno</t>
  </si>
  <si>
    <t>Motocicletas</t>
  </si>
  <si>
    <t xml:space="preserve">Otros equipos de cómputo </t>
  </si>
  <si>
    <t>Entidad</t>
  </si>
  <si>
    <t>Juntas de Educacion</t>
  </si>
  <si>
    <t>1.2.5.01.03</t>
  </si>
  <si>
    <r>
      <t xml:space="preserve">En el presente año se han adquirido bienes por un monto total de </t>
    </r>
    <r>
      <rPr>
        <sz val="12"/>
        <color rgb="FF000000"/>
        <rFont val="Arial"/>
        <family val="2"/>
      </rPr>
      <t>₡</t>
    </r>
    <r>
      <rPr>
        <sz val="12"/>
        <color theme="1"/>
        <rFont val="Arial Narrow"/>
        <family val="2"/>
      </rPr>
      <t>25 530,14 según el siguiente detalle:</t>
    </r>
  </si>
  <si>
    <t>Maquinaria y Equipo de Construcción</t>
  </si>
  <si>
    <t>Equipo de Ventilación</t>
  </si>
  <si>
    <t>Sillas y Bancos</t>
  </si>
  <si>
    <t>VALOR EN LIBROS</t>
  </si>
  <si>
    <t>DEPRECIACIÓN
ACUMULADA</t>
  </si>
  <si>
    <t>En el presente año se han dado de baja los siguientes bienes:</t>
  </si>
  <si>
    <t>Deudas varias con el sector privado interno c/p</t>
  </si>
  <si>
    <t>1.1.1.01.02.</t>
  </si>
  <si>
    <t>1.1.1.01.02.02.2.</t>
  </si>
  <si>
    <t>Cuentas corrientes en el sector público interno</t>
  </si>
  <si>
    <t>1.1.1.01.02.02.3.</t>
  </si>
  <si>
    <t>Caja Única</t>
  </si>
  <si>
    <t>1.1.1.01.03.01.</t>
  </si>
  <si>
    <t>Cajas chicas</t>
  </si>
  <si>
    <t>1.1.1.01.03.</t>
  </si>
  <si>
    <t>Cajas chicas  fondos rotatorios</t>
  </si>
  <si>
    <t>1.1.1.02.</t>
  </si>
  <si>
    <t>Equivalentes de efectivo</t>
  </si>
  <si>
    <t>Depósitos bancarios</t>
  </si>
  <si>
    <t>1.1.1.02.99.02.</t>
  </si>
  <si>
    <t>1.1.1.01.03.02.</t>
  </si>
  <si>
    <t>Fondos rotatorios</t>
  </si>
  <si>
    <t>Totales</t>
  </si>
  <si>
    <t>2.1.1.01.01.01</t>
  </si>
  <si>
    <t>2.1.1.01.02.01.</t>
  </si>
  <si>
    <t>2.1.1.02.01.01.</t>
  </si>
  <si>
    <t>2.1.1.02.01.03.</t>
  </si>
  <si>
    <t>Remuneraciones básicas y eventuales a pagar c/p (Remuneraciones)</t>
  </si>
  <si>
    <t>Incentivos salariales a pagar c/p (Decimotercer mes)</t>
  </si>
  <si>
    <t>2.1.1.02.01.04.</t>
  </si>
  <si>
    <t>2.1.1.02.02.02.</t>
  </si>
  <si>
    <t>2.1.2.02.02.99.1.14226</t>
  </si>
  <si>
    <t>Préstamos a pagar a corto plazo 
Instituto de Fomento y Asesoría Municipal (IFAM) Préstamo corto Plazo</t>
  </si>
  <si>
    <t>2.2.2.02.02.99.1.14226</t>
  </si>
  <si>
    <t>2.2.4.01.03.</t>
  </si>
  <si>
    <t>Provisiones para beneficios a los empleados l/p</t>
  </si>
  <si>
    <t>DETALLE DE INTANGIBLES</t>
  </si>
  <si>
    <t>Fecha Recibido</t>
  </si>
  <si>
    <t>Detalle de Activo</t>
  </si>
  <si>
    <t>Pendiente</t>
  </si>
  <si>
    <t>SOFTWARE TIPO CAD 2017 O ÚLTIMA VERSIÓN LIBERADA, R2 Marca GstarCAD Modelo 2018</t>
  </si>
  <si>
    <t>LICENCIA DE SOFTWARE ADOBE CREATIVE CLOUD VIP, ALL APPS, VIGENCIA UN AÑO, ÚLTIMA VERSIÓN Marca Creative Cloud Modelo for Teams</t>
  </si>
  <si>
    <t>Detalle</t>
  </si>
  <si>
    <t>Producción en proceso de software y programas</t>
  </si>
  <si>
    <t>OBLIGACIONES</t>
  </si>
  <si>
    <t xml:space="preserve">SALDO DEL CAPITAL AL INICIO DEL EJERCICIO INFORMADO </t>
  </si>
  <si>
    <t>MOVIMIENTOS DEL EJERCICIO</t>
  </si>
  <si>
    <t xml:space="preserve">SALDO DEL CAPITAL
EN COLONES AL CIERRE
DEL PERIODO </t>
  </si>
  <si>
    <t>Incrementos</t>
  </si>
  <si>
    <t>Disminuciones</t>
  </si>
  <si>
    <t>Desembolsos recibidos</t>
  </si>
  <si>
    <t>Amortización del periodo</t>
  </si>
  <si>
    <t xml:space="preserve"> DEUDA PUBLICA INTERNA   </t>
  </si>
  <si>
    <t>Préstamo IFAM</t>
  </si>
  <si>
    <t>Monto original del préstamo</t>
  </si>
  <si>
    <t>Saldo del pricipal al inicio del ejercicio</t>
  </si>
  <si>
    <t>Desembolsos recibidos en el periodo</t>
  </si>
  <si>
    <t>GASTOS Y
COMISIONES
DEL PRÉSTAMO</t>
  </si>
  <si>
    <t>INTERESES PAGADOS</t>
  </si>
  <si>
    <t>2.1.1.01.02.04.</t>
  </si>
  <si>
    <t>Deudas comerciales por adquisición de bienes de infraestructura y de beneficio y uso público c/p</t>
  </si>
  <si>
    <t>1.1.4.01.01.02.</t>
  </si>
  <si>
    <t>Productos farmacéuticos y medicinales</t>
  </si>
  <si>
    <t>1-11-EQC-907-07</t>
  </si>
  <si>
    <t>01-18-AUM-1079-11</t>
  </si>
  <si>
    <t>01-18-AUM-1081-11</t>
  </si>
  <si>
    <t>01-18-AUM-306-28</t>
  </si>
  <si>
    <t>01-01-AUM-4437-07</t>
  </si>
  <si>
    <t xml:space="preserve">Junta Administrativa del Registro Nacional  </t>
  </si>
  <si>
    <t>2.1.1.03.02.01.</t>
  </si>
  <si>
    <t>2.1.1.99</t>
  </si>
  <si>
    <t>Otras deudas a corto plazo</t>
  </si>
  <si>
    <t>2.1.1.01.04.01.</t>
  </si>
  <si>
    <t>Deudas comerciales por alquileres y derechos sobre bienes c/p</t>
  </si>
  <si>
    <t>2.1.1.01.04.04.</t>
  </si>
  <si>
    <t>Deudas comerciales por servicios de gestión y apoyo c/p</t>
  </si>
  <si>
    <t>2.1.1.01.04.07.</t>
  </si>
  <si>
    <t>Deudas comerciales por capacitación y protocolo c/p</t>
  </si>
  <si>
    <t>2.1.1.03.02.02.</t>
  </si>
  <si>
    <t>Transferencias a Órganos Desconcentrados a pagar c/p</t>
  </si>
  <si>
    <t>2.1.1.03.02.03.</t>
  </si>
  <si>
    <t>Transferencias a Instituciones Descentralizadas no Empresariales a pagar c/p</t>
  </si>
  <si>
    <t>2.1.1.03.02.99.</t>
  </si>
  <si>
    <t>Transferencias a otras Instituciones de Gobiernos Locales a pagar c/p</t>
  </si>
  <si>
    <t>Deudas comerciales por gastos de viaje y transporte c/p</t>
  </si>
  <si>
    <t>2.1.1.01.04.08.</t>
  </si>
  <si>
    <t>Deudas comerciales por mantenimiento y reparaciones c/p</t>
  </si>
  <si>
    <t>2.1.1.02.02.04.</t>
  </si>
  <si>
    <t>Retenciones de impuestos entidades relacionadas a pagar c/p</t>
  </si>
  <si>
    <t>1.1.4.01.99.02.</t>
  </si>
  <si>
    <t>Útiles y materiales médico, hospitalario y de investigación</t>
  </si>
  <si>
    <t>Equipo de entretenimiento</t>
  </si>
  <si>
    <t>Total Equipo de Medición</t>
  </si>
  <si>
    <t>Total Bombas</t>
  </si>
  <si>
    <t>Total Motocicletas</t>
  </si>
  <si>
    <t>Total Vehículos</t>
  </si>
  <si>
    <t>Total Archivadores y Estantes</t>
  </si>
  <si>
    <t>Total Sillas y Butacas</t>
  </si>
  <si>
    <t>Total Computadoras</t>
  </si>
  <si>
    <t>Total Impresoras</t>
  </si>
  <si>
    <t>Total UPS</t>
  </si>
  <si>
    <t>Total Otros Equipos de Computación</t>
  </si>
  <si>
    <t>Total Otros Equipos de Seguridad</t>
  </si>
  <si>
    <t>Total Equipo Doméstico</t>
  </si>
  <si>
    <t>Total Equipo Fotográfico</t>
  </si>
  <si>
    <r>
      <t>Nota:</t>
    </r>
    <r>
      <rPr>
        <b/>
        <sz val="8"/>
        <color theme="1"/>
        <rFont val="Arial Narrow"/>
        <family val="2"/>
      </rPr>
      <t xml:space="preserve"> </t>
    </r>
    <r>
      <rPr>
        <b/>
        <sz val="8"/>
        <color rgb="FFFF0000"/>
        <rFont val="Arial Narrow"/>
        <family val="2"/>
      </rPr>
      <t>*</t>
    </r>
    <r>
      <rPr>
        <b/>
        <sz val="8"/>
        <color theme="1"/>
        <rFont val="Arial Narrow"/>
        <family val="2"/>
      </rPr>
      <t xml:space="preserve"> </t>
    </r>
    <r>
      <rPr>
        <sz val="8"/>
        <color theme="1"/>
        <rFont val="Arial Narrow"/>
        <family val="2"/>
      </rPr>
      <t>Estos rubros estan siendo revisados para determinar la corrección y cantidad de bienes respectiva.</t>
    </r>
  </si>
  <si>
    <t>LICENCIA MICROSOFT PROJECT ONLINE, 3 licencias</t>
  </si>
  <si>
    <t>2.1.1.01.04.02.</t>
  </si>
  <si>
    <t>Deudas comerciales por servicios básicos c/p</t>
  </si>
  <si>
    <t>2.1.1.02.01.99.</t>
  </si>
  <si>
    <t>Otros deudas por beneficios a los empleados c/p</t>
  </si>
  <si>
    <t>Saldo 31 de diciembre de 2023</t>
  </si>
  <si>
    <t>Desembolso febrero 2024</t>
  </si>
  <si>
    <t>Observación</t>
  </si>
  <si>
    <t>Total Monitores</t>
  </si>
  <si>
    <t>2.1.1.01.04.03.</t>
  </si>
  <si>
    <t>Deudas comerciales por servicios comerciales y financieros c/p</t>
  </si>
  <si>
    <t>Sec-0858-0860</t>
  </si>
  <si>
    <t xml:space="preserve"> Sec 2950-2023</t>
  </si>
  <si>
    <t xml:space="preserve"> Sec  2953-2023</t>
  </si>
  <si>
    <t xml:space="preserve"> Sec -3659-2023</t>
  </si>
  <si>
    <t>Sec-2954-2023</t>
  </si>
  <si>
    <t>Sec 2951-2023</t>
  </si>
  <si>
    <t>Sec 2952-2023</t>
  </si>
  <si>
    <t>Sec  2048-2023</t>
  </si>
  <si>
    <t>2.1.1.01.04.06.</t>
  </si>
  <si>
    <t>Deudas comerciales por seguros, reaseguros y otras obligaciones c/p</t>
  </si>
  <si>
    <t>2.1.9.99.</t>
  </si>
  <si>
    <t>Pasivos a corto plazo sujetos a depuración contable</t>
  </si>
  <si>
    <t>Libros MBA</t>
  </si>
  <si>
    <t>Oficio IFAM</t>
  </si>
  <si>
    <t>Diferencia</t>
  </si>
  <si>
    <t>Amortizaciones realizadas</t>
  </si>
  <si>
    <t>Saldo Pendiente de cancelar</t>
  </si>
  <si>
    <t>Amortización Principal</t>
  </si>
  <si>
    <t>Intereses pagados</t>
  </si>
  <si>
    <t>Concepto</t>
  </si>
  <si>
    <t>Nota sobre diferencia con IFANM</t>
  </si>
  <si>
    <t>Nota Estado Flujo de Efectivo</t>
  </si>
  <si>
    <t>DETALLE DE LAS PÓLIZAS</t>
  </si>
  <si>
    <t xml:space="preserve">Gastos Registrados Periodo </t>
  </si>
  <si>
    <t>GASTO MENSUAL DIFERIDO AÑO 2024  5.1.2.06.</t>
  </si>
  <si>
    <t>Vigencia desde</t>
  </si>
  <si>
    <t>Hasta</t>
  </si>
  <si>
    <t>Meses Amortización</t>
  </si>
  <si>
    <t>Gasto Mensual</t>
  </si>
  <si>
    <t>TOTAL 2024</t>
  </si>
  <si>
    <t>27/4/2023 **</t>
  </si>
  <si>
    <t>termino en marzo</t>
  </si>
  <si>
    <t>Vigente</t>
  </si>
  <si>
    <t>Sec-0790-0786</t>
  </si>
  <si>
    <t>Terminó en abril</t>
  </si>
  <si>
    <t>Termino en Junio</t>
  </si>
  <si>
    <t>Terminó en Junio</t>
  </si>
  <si>
    <t>01-01-AUM-4437-08</t>
  </si>
  <si>
    <t>Inicio en mayo</t>
  </si>
  <si>
    <t>Sec 1357-2024</t>
  </si>
  <si>
    <t>01-18-AUM-1081-12</t>
  </si>
  <si>
    <t xml:space="preserve"> Sec  1361-2024</t>
  </si>
  <si>
    <t>01-18-AUM-1079-12</t>
  </si>
  <si>
    <t xml:space="preserve"> Sec  1364-2024</t>
  </si>
  <si>
    <t>LICENCIA DE SOFTWARE ADOBE CREATIVE CLOUD VIP, ALL APPS, Marca Creative Cloud Modelo for Teams</t>
  </si>
  <si>
    <t>LICENCIA ENVATO, VIGENCIA ANUAL, VERSIÓN ACTUAL Marca Envato Modelo Elements Individual</t>
  </si>
  <si>
    <t>6 LICENCIAS DE OFFICE 365 EMPRESA Marca Microsoft Modelo Office 365 Empresa</t>
  </si>
  <si>
    <t>LICENCIA TIPO CAD, VERSION PROFECIONAL 2017 CAD, LICENCIA, SOFTWARE TIPO CAD. Marca Gsta rCAD Modelo 2018</t>
  </si>
  <si>
    <t>Motoniveladora, Caterplillar 120 G (SM 2359)</t>
  </si>
  <si>
    <t>Cargador, Caterplillar 928 G (SM 3371)</t>
  </si>
  <si>
    <t>Motoniveladora, Caterplillar 140M (SM 4574)</t>
  </si>
  <si>
    <t>Vagoneta Mack; Modelo CV713 (SM 4603)</t>
  </si>
  <si>
    <t>Vagoneta Mack; Modelo CV713 (SM 4604)</t>
  </si>
  <si>
    <t>Back Hoe (Retroescabadora) (SM 4613)</t>
  </si>
  <si>
    <t>Compactadora PLACA SM4466</t>
  </si>
  <si>
    <t>Vagoneta Mack; Modelo GU813 (SM 4620)</t>
  </si>
  <si>
    <t>Cabezal Mack MKV08024 (SM 5134)</t>
  </si>
  <si>
    <t>LOW BOY LOADCRAFT (SM 5133) -Trailer-</t>
  </si>
  <si>
    <t>CAMION FREIGHTLINER MOTOR: 460914U0927533 (SM 5144)</t>
  </si>
  <si>
    <t>CAMION FREIGHTLINER MOTOR:460914U0929234 (SM 5158)</t>
  </si>
  <si>
    <t>Eje Vibrador Flexible con Punta</t>
  </si>
  <si>
    <t>CAMION FREIGHTLINER M2 112 64k 6X4 SM 6672</t>
  </si>
  <si>
    <t>CAMION FREIGHTLINER 6400 cc. Modelo SM 6672</t>
  </si>
  <si>
    <t>Prensa para banco base Giratoria Trupper</t>
  </si>
  <si>
    <t xml:space="preserve">Clinómetro </t>
  </si>
  <si>
    <t>Cinta metrica de 100 mts</t>
  </si>
  <si>
    <t>Medidor Laser DISTO LEICA</t>
  </si>
  <si>
    <t>Hidrolavadora KARCHER HD 585</t>
  </si>
  <si>
    <t>Batidora de Concreto (Gasolina)</t>
  </si>
  <si>
    <t>Esmeriladora MAKITA Angular</t>
  </si>
  <si>
    <t>Motoguadaña - Husquarna (343 FR)</t>
  </si>
  <si>
    <t xml:space="preserve">POLIPASTO MANUAL (PULL LIFT), </t>
  </si>
  <si>
    <t>Motocicleta Honda XR250R</t>
  </si>
  <si>
    <t>Cuadraciclo YAMAHA (Azul)  PLACA SM 5076</t>
  </si>
  <si>
    <t>Vehículo MITSUBISHI L200 2008 (Verde)  PLACA SM4587</t>
  </si>
  <si>
    <t>Vehículo KIA K2700  (Blanco) PLACA SM5094</t>
  </si>
  <si>
    <t>Vehículo TOYOTA PRADO  2009 (MOTOR 1KZ1818414) (SM 5011)</t>
  </si>
  <si>
    <t>Vehículo Mitsubisi L200 verde 2009 (SM 5083)</t>
  </si>
  <si>
    <t>Vehículo Daihatsu Terios 2009 (Blanco ) Placa SM 5078</t>
  </si>
  <si>
    <t>Fax Panasonic KX-FT77</t>
  </si>
  <si>
    <t>Fax Panasonic KX-FT71</t>
  </si>
  <si>
    <t>Teléfono IP Yealink modelo SIP-T20P</t>
  </si>
  <si>
    <t>Teléfono IP Aastra 6730i</t>
  </si>
  <si>
    <t>Teléfono IP Aastra 6731i</t>
  </si>
  <si>
    <t>Teléfono IP Astra 6731i</t>
  </si>
  <si>
    <t>Radio Receptor Modelo F4003</t>
  </si>
  <si>
    <t>Pantalla de proyeccion</t>
  </si>
  <si>
    <t>Proyector Epson Power Lite 93 H382A</t>
  </si>
  <si>
    <t>Pantalla para proyecciones Marca: Klip Xttreme Modelo: KPS-103</t>
  </si>
  <si>
    <t>Archivador 4 gabetas con riel telecópico.  Leogar</t>
  </si>
  <si>
    <t>Archivador 4 gabetas con riel telecópico.</t>
  </si>
  <si>
    <t>Archivador metálico con caja fuerte incorporado</t>
  </si>
  <si>
    <t>Archivador metálico con rieles telescópicos</t>
  </si>
  <si>
    <t>Archivador 4 gabetas metálico con rieles telescopicos</t>
  </si>
  <si>
    <t>Archivador metálico 4 gavetas sin rieles</t>
  </si>
  <si>
    <t>Archivador metálico 4 Gavetas con Rieles</t>
  </si>
  <si>
    <t>Archivador metálico 4 gavetas con rieles</t>
  </si>
  <si>
    <t>Archivador metálico 4 gavetas con rieles, Cierre central</t>
  </si>
  <si>
    <t>Biblioteca madera</t>
  </si>
  <si>
    <t>Biblioteca Madera</t>
  </si>
  <si>
    <t>Archivador metálico 2 gavetas con rieles</t>
  </si>
  <si>
    <t>Archivador de 4 Gavetas, con Rieles Telescópicos</t>
  </si>
  <si>
    <t>Estantería Para Archivos</t>
  </si>
  <si>
    <t>Archivador de 4 Gabetas, con Rieles Telescopicos</t>
  </si>
  <si>
    <t>Archivador Metálico 2 Gavetas con Rieles</t>
  </si>
  <si>
    <t>Archivador de 4 gabetas</t>
  </si>
  <si>
    <t>Archivador de 4 gavetas Tamaño Legal de Metal</t>
  </si>
  <si>
    <t>Estante Metalico Color Beige</t>
  </si>
  <si>
    <t>Archivador de 4 gavetas Tamaño Legal color Beige</t>
  </si>
  <si>
    <t xml:space="preserve">Biblioteca  </t>
  </si>
  <si>
    <t>Archivador de 4 gavetas Tamaño Legal color Negro</t>
  </si>
  <si>
    <t>Archivador de 3 gavetas, lamina de hierro</t>
  </si>
  <si>
    <t>Escritorio 6 gaVetas</t>
  </si>
  <si>
    <t>Escritorio madera 7 gavetas, Valor Histórico</t>
  </si>
  <si>
    <t>Escritorio 6 gavetas metálico</t>
  </si>
  <si>
    <t>Mueble para computadora</t>
  </si>
  <si>
    <t>Escritorio metal-formica 2 gavetas</t>
  </si>
  <si>
    <t>Escritorio metal-formica 3 gavetas</t>
  </si>
  <si>
    <t>Escritorio 6 gavetas metal-formica</t>
  </si>
  <si>
    <t xml:space="preserve">Escritorio  </t>
  </si>
  <si>
    <t>Escritorio Metálico 3 Gavetas con Melamina</t>
  </si>
  <si>
    <t>Escritorio Ejecutivo</t>
  </si>
  <si>
    <t>Escritorio 6 gavetas lamina de hierro</t>
  </si>
  <si>
    <t>Escritorio de 6 gavetas modelo 5114 Alvarado</t>
  </si>
  <si>
    <t>Sillón de vinil 3 posiciones</t>
  </si>
  <si>
    <t>Escaño Madera Largo</t>
  </si>
  <si>
    <t>Escaño madera corto</t>
  </si>
  <si>
    <t>Sillón Presidente</t>
  </si>
  <si>
    <t>Butaca poliuretano 5 asientos</t>
  </si>
  <si>
    <t>Silla ergonomica, dos palancas, systema syncro</t>
  </si>
  <si>
    <t>Butaca con carcaza plástica de polipropileno, de cinco plazas</t>
  </si>
  <si>
    <t>Aire acondicionado Sharp</t>
  </si>
  <si>
    <t>Aire acondicionado 24000 B.T.U.</t>
  </si>
  <si>
    <t>Aire acondicionado 12000 B.T.U.</t>
  </si>
  <si>
    <t>Aire acondicionado 36000 B.T.U.</t>
  </si>
  <si>
    <t>Máquina de escribir Olympia</t>
  </si>
  <si>
    <t>Pantalla dos dígitos Atención al Público</t>
  </si>
  <si>
    <t>Computadora portátil HP 1000-1220LA</t>
  </si>
  <si>
    <t>Computadora de Escritorio HP Pro 6300</t>
  </si>
  <si>
    <t>CPU Intel Core i5, marca HP</t>
  </si>
  <si>
    <t>Computadora de Escritorio HP Elite 8300</t>
  </si>
  <si>
    <t>Computadora portátil marca HP modelo ProBook 4540s</t>
  </si>
  <si>
    <t>Servidor HP-ProliantG2</t>
  </si>
  <si>
    <t>C.P.U. DELL TORRE 745</t>
  </si>
  <si>
    <t>Computadora portátil TOSHIBA L305-SP5806 SPA 15.4</t>
  </si>
  <si>
    <t>Computadora portátil TOSHIBA SATELITE PRO C650-SP6005L</t>
  </si>
  <si>
    <t>Computadora HP COMPAQ DC 5800 CPU</t>
  </si>
  <si>
    <t>Computadora portátil HP 4420S Notebook</t>
  </si>
  <si>
    <t>Computadora</t>
  </si>
  <si>
    <t xml:space="preserve">Computadora HP </t>
  </si>
  <si>
    <t>Computadora portátil TOSHIBA C605-5P4101L</t>
  </si>
  <si>
    <t xml:space="preserve">Computadora portátil TOSHIBA </t>
  </si>
  <si>
    <t>Computadora portatil Marca HP</t>
  </si>
  <si>
    <t>Computadora de Escritorio HP/6200promt/C13/4G</t>
  </si>
  <si>
    <t>Computadora portátil HP ProBook 6470B</t>
  </si>
  <si>
    <t>CPU HP Elite 8300</t>
  </si>
  <si>
    <t>Computadora portátil HP  ProBook 450 G1</t>
  </si>
  <si>
    <t>CPU HP EliteDesk 800 G1</t>
  </si>
  <si>
    <t>CPU HP EliteDesk 800 G1</t>
  </si>
  <si>
    <t>Computadora portátil HP Envy 15-j108la</t>
  </si>
  <si>
    <t xml:space="preserve">CPU HP Pro Desk 600 G1               </t>
  </si>
  <si>
    <t>CPU HP ProDesk 600 G1</t>
  </si>
  <si>
    <t>Computadora Portatil  HP Modelo: ProBook 450 G2</t>
  </si>
  <si>
    <t>Computadora de escritorio SSF HP EliteDesk 800 G1</t>
  </si>
  <si>
    <t>Computadora Portátil HP ProBook 440 G1</t>
  </si>
  <si>
    <t>Computadora portatil DELL  Modelo Latitude E3560</t>
  </si>
  <si>
    <t>Computadora de Escrito Dell Modelo Optiplex 7040; tipo Small SFF.</t>
  </si>
  <si>
    <t>Computadora Dell Modelo Optiplex 7040</t>
  </si>
  <si>
    <t xml:space="preserve">Computadora portátil LENOVO V110 A6-9210 </t>
  </si>
  <si>
    <t>Computadora de Escritorio Dell Modelo Optiplex 7040; tipo Small SFF.</t>
  </si>
  <si>
    <t>Computadora portátilL LENOVO V110</t>
  </si>
  <si>
    <t>Computadora portátil LENOVO V110</t>
  </si>
  <si>
    <t>Computadora portátil LENOVO V110 CORE I3-6100</t>
  </si>
  <si>
    <t>Computadora portátil  DELL LATITUDE 5570C15-6300</t>
  </si>
  <si>
    <t>CPU DELL Modelo Optiplex 7050 Ci5 8G</t>
  </si>
  <si>
    <t xml:space="preserve">Computadora portátil marca HP Probook 440 G4 </t>
  </si>
  <si>
    <t>Computadora de escritorio INTEL CORE I7-4790</t>
  </si>
  <si>
    <t>Computadora de escritorio DELL optiplex</t>
  </si>
  <si>
    <t xml:space="preserve">CPU DELL  CORE i7-7700 </t>
  </si>
  <si>
    <t xml:space="preserve">Tableta Robusta de 20,32 cm Marca CATERPILLAR </t>
  </si>
  <si>
    <t>Computadora de escritorio OPTIPLEX i5-7500 Marca Dell</t>
  </si>
  <si>
    <t>Impresora LASER JET M3027 MFP</t>
  </si>
  <si>
    <t>Impresora</t>
  </si>
  <si>
    <t>Impresora EPSON TM-U220PA</t>
  </si>
  <si>
    <t>Impresora FX -2190 Matriz de Puntos</t>
  </si>
  <si>
    <t>Impresora HP Laserjet 1536dnf MFP    </t>
  </si>
  <si>
    <t xml:space="preserve">Impresora HP Laserjet 1536dnf MFP </t>
  </si>
  <si>
    <t>Impresora laser HP LaserJet 1536dnf MP</t>
  </si>
  <si>
    <t xml:space="preserve">Impresora Plotter HP DesingJet T520                 </t>
  </si>
  <si>
    <t>Impresora Multifuncional EPSON L565+</t>
  </si>
  <si>
    <t>Multifuncional canon imagerunner 1435IF</t>
  </si>
  <si>
    <t>Multifuncional Epson Ecotank L565</t>
  </si>
  <si>
    <t>Impresora Multifuncional EPSON L220</t>
  </si>
  <si>
    <t xml:space="preserve">Impresora HP LASERJET MFP M426fdw </t>
  </si>
  <si>
    <t>Multifuncional Epson Ecotank L575</t>
  </si>
  <si>
    <t>Impresora Epson L3110</t>
  </si>
  <si>
    <t>Impresora Multifuncional HP Designjet T830</t>
  </si>
  <si>
    <t xml:space="preserve">Impresora MP 501SPF  RICOH  </t>
  </si>
  <si>
    <t>Monitor LED AOC e943Fwsk</t>
  </si>
  <si>
    <t>Monitor LED AOC e2243Fwsk</t>
  </si>
  <si>
    <t>Monitor view sonic 17 witdercreen va 1703 w b</t>
  </si>
  <si>
    <t xml:space="preserve">Monitor Sansung AOC 17" </t>
  </si>
  <si>
    <t>Monitor</t>
  </si>
  <si>
    <t>Monitor HP LED 1901w</t>
  </si>
  <si>
    <t>Monitor HP LE1901W</t>
  </si>
  <si>
    <t>Monitor AOC Led 22" Negro e2243Fwsk</t>
  </si>
  <si>
    <t>Monitor AOC e2243Fwsk                        </t>
  </si>
  <si>
    <t>Monitor AOC 21.5"</t>
  </si>
  <si>
    <t xml:space="preserve">Monitor LED 22” AOC e2270Swn                    </t>
  </si>
  <si>
    <t>Monitor LED 22” AOC e2270Swn</t>
  </si>
  <si>
    <t xml:space="preserve">Monitor Led 22” AOC e2270Swn                          </t>
  </si>
  <si>
    <t>Monitor AOC LED 18.5" E970SWN</t>
  </si>
  <si>
    <t>Monitor AOC</t>
  </si>
  <si>
    <t xml:space="preserve">Monitor AOC </t>
  </si>
  <si>
    <t xml:space="preserve">Monitor DELL LED E2417H </t>
  </si>
  <si>
    <t>Monitor DELL E2417H LED</t>
  </si>
  <si>
    <t xml:space="preserve">Monitor Samsung 24" Plane B2B </t>
  </si>
  <si>
    <t>Monitor  Samsung de 24" Modelo LS24E45KDSG/GO</t>
  </si>
  <si>
    <t>Monitor marca Samsung de 24" Modelo LS24E45KDSG/GO</t>
  </si>
  <si>
    <t xml:space="preserve">MONITOR (16,73 pulg), Marca SAMSUNG Modelo SE450 </t>
  </si>
  <si>
    <t>MONITOR LED 45,72 cm. Marca HP </t>
  </si>
  <si>
    <t>Monitor DELL P2417H</t>
  </si>
  <si>
    <t>Monitor DELL</t>
  </si>
  <si>
    <t>MONITOR DE ESCRITORIO Marca dell 21,5"</t>
  </si>
  <si>
    <t>UPS APC negra</t>
  </si>
  <si>
    <t>Back-UPS LS 500</t>
  </si>
  <si>
    <t>UPS  American Power</t>
  </si>
  <si>
    <t>UPS APC Surta 3000 XL Smart-UPS RT 3000  </t>
  </si>
  <si>
    <t>Escáner marca HP modelo Scanjet 55090</t>
  </si>
  <si>
    <t>Disco Portable SAMSUNG 500 GB NEGRO</t>
  </si>
  <si>
    <t>Disco Duro externo almacenamiento vía Ethernet</t>
  </si>
  <si>
    <t>Disco duro portable 1 TB</t>
  </si>
  <si>
    <t>Disco duro portable WD My Passport </t>
  </si>
  <si>
    <t>Disco duro RAID Western Digital Sentinel DX40000 (WDBLGT0040KBK-21)</t>
  </si>
  <si>
    <t>Linksys SE3024 24 PORT, GIGABIT SWITH METALIC</t>
  </si>
  <si>
    <t>Switch Cisco 24 port</t>
  </si>
  <si>
    <t>Switch Cisco 24 port modelo SRW224G4-K9-NA</t>
  </si>
  <si>
    <t xml:space="preserve">Disco Duro de 8,89 mm (3,5 Pulg) Serial ATA DE 500 GB Capacidad Mínima de 7200 rpm, Marca SEAGATE </t>
  </si>
  <si>
    <t>CAJA FUERTE OPTIMA</t>
  </si>
  <si>
    <t>Juego Comedor Metal Boston</t>
  </si>
  <si>
    <t>Juego de Sala</t>
  </si>
  <si>
    <t xml:space="preserve">Juego de comedor 4 sillas </t>
  </si>
  <si>
    <t xml:space="preserve">Cámara fotográfica digital Sony </t>
  </si>
  <si>
    <t xml:space="preserve">Cámara fotográfica digital </t>
  </si>
  <si>
    <t xml:space="preserve">Cámara Sony </t>
  </si>
  <si>
    <t>DESCRIPCIÓN DEL ACTIVO</t>
  </si>
  <si>
    <t>Total Maquinaria Construcción</t>
  </si>
  <si>
    <t>Total Equipo Hidraulico</t>
  </si>
  <si>
    <t>Total Otra Maquinaria y Equipo Producción</t>
  </si>
  <si>
    <t>Total Equpo Audio y Video</t>
  </si>
  <si>
    <t>Total Escritorios y Mesas</t>
  </si>
  <si>
    <t>Total Equipo de ventilación</t>
  </si>
  <si>
    <t>Total Mobiliario y equipo de Oficina</t>
  </si>
  <si>
    <t>2.1.1.01.02.08.</t>
  </si>
  <si>
    <t>Deudas comerciales por adquisición de bienes intangibles c/p</t>
  </si>
  <si>
    <t>2.1.1.99.99.01.</t>
  </si>
  <si>
    <t>Saldo de Prima</t>
  </si>
  <si>
    <t>Ajuste al Saldo inicial</t>
  </si>
  <si>
    <t>Ministerio de Gobernación y Policía</t>
  </si>
  <si>
    <t>Consejo Nacional de la Política Pública de la Persona Joven (CPJ)</t>
  </si>
  <si>
    <t>01-18-AUM-306-29</t>
  </si>
  <si>
    <t>Colones</t>
  </si>
  <si>
    <t>miles</t>
  </si>
  <si>
    <t>Asiento de ajuste mes de Julio Asiento 27706</t>
  </si>
  <si>
    <t>Primas y gastos de seguros a devengar c/p</t>
  </si>
  <si>
    <t>1.1.9.01.01.01.0.99999.001</t>
  </si>
  <si>
    <t>Resultados de ejercicios anteriores</t>
  </si>
  <si>
    <t>3.1.5.01.01.00.0.99999</t>
  </si>
  <si>
    <t>Se procede con asiento de ajuste para conciliar la cuenta 119.01.01.01  contra el monto según  auxiliar . Lo anterior ya que existe esa diferencia entre  el saldo activo o monto por devengar contra el saldo de la cuenta . La diferencia según revision es del periodo anterio  ya que se reviso lo devengado en el periodo actual contra la cuenta y esta correcto</t>
  </si>
  <si>
    <t>****</t>
  </si>
  <si>
    <t>Inicio en Julio</t>
  </si>
  <si>
    <t xml:space="preserve"> Sec  1363-2024</t>
  </si>
  <si>
    <t xml:space="preserve"> Sec  1858-2024</t>
  </si>
  <si>
    <t>Terminó en febrero</t>
  </si>
  <si>
    <t>Saldo Actual Cuenta Activo 1.1.9.01.01.01.</t>
  </si>
  <si>
    <t>2.1.1.01.04.05</t>
  </si>
  <si>
    <t>2.1.1.01.01.02.</t>
  </si>
  <si>
    <t>Deudas comerciales por adquisición de bienes para la venta c/p</t>
  </si>
  <si>
    <t>Vigencia</t>
  </si>
  <si>
    <t>Desde</t>
  </si>
  <si>
    <t>AL 31 DE JULIO DE 2024</t>
  </si>
  <si>
    <t>Gasto del Periodo</t>
  </si>
  <si>
    <t>Gasto del Año 2024  Cuenta 5.1.2.06.</t>
  </si>
  <si>
    <t>Efectivo en cuentas corrientes</t>
  </si>
  <si>
    <t>Efectivo en cuentas de Caja Unica</t>
  </si>
  <si>
    <t>Efectivo en cajas Chicas</t>
  </si>
  <si>
    <t>Datos de balanza</t>
  </si>
  <si>
    <t>Datos de balanza agosto 2024</t>
  </si>
  <si>
    <t>Tecle Manual Cadena Doble 5 TON TRUPER 16828</t>
  </si>
  <si>
    <t>Resumen</t>
  </si>
  <si>
    <t>Proyector audiovisual Marca Epson Modelo: PowerLite X24+</t>
  </si>
  <si>
    <t>este caudo no esta relacionado con el resumen</t>
  </si>
  <si>
    <t>Total</t>
  </si>
  <si>
    <t>Bienes intangibles no concesionados</t>
  </si>
  <si>
    <t>Saldo Activo</t>
  </si>
  <si>
    <t>Saldo Balance Comprobación 1.1.9.01.01.01.</t>
  </si>
  <si>
    <t>SEC</t>
  </si>
  <si>
    <t>Asiento de ajuste mes de JUNIO</t>
  </si>
  <si>
    <t>Terminó en febrero 2024</t>
  </si>
  <si>
    <t>Se procede con asiento de ajuste para conciliar la cuenta 119.01.01.01  contra el monto según  auxiliar . Lo anterior ya que existe esa diferencia entre  el saldo activo o monmto por devengar con tra el saldo de la cuenta . La diferencia según revision es del periodo anterio  ya que se reviso lo devengado en el periodo actual contra la cuenta y esta correcto</t>
  </si>
  <si>
    <t>SOLO VEHICULOS</t>
  </si>
  <si>
    <r>
      <rPr>
        <b/>
        <sz val="8"/>
        <color rgb="FFFF0000"/>
        <rFont val="Arial Narrow"/>
        <family val="2"/>
      </rPr>
      <t>*</t>
    </r>
    <r>
      <rPr>
        <b/>
        <sz val="8"/>
        <color theme="1"/>
        <rFont val="Arial Narrow"/>
        <family val="2"/>
      </rPr>
      <t xml:space="preserve"> Sumas devengadas menores al monto mensual debido a que se pagó a mitad de mes.</t>
    </r>
    <r>
      <rPr>
        <sz val="8"/>
        <color theme="1"/>
        <rFont val="Arial Narrow"/>
        <family val="2"/>
      </rPr>
      <t xml:space="preserve">
</t>
    </r>
    <r>
      <rPr>
        <b/>
        <sz val="8"/>
        <color rgb="FFFF0000"/>
        <rFont val="Arial Narrow"/>
        <family val="2"/>
      </rPr>
      <t>**</t>
    </r>
    <r>
      <rPr>
        <b/>
        <sz val="8"/>
        <color theme="1"/>
        <rFont val="Arial Narrow"/>
        <family val="2"/>
      </rPr>
      <t xml:space="preserve"> Primas pagadas en el periodo 20224 de enero a abril</t>
    </r>
  </si>
  <si>
    <t>solo vehiculos</t>
  </si>
  <si>
    <t>Detalle de las polizas de riesgos de trabajo registrados</t>
  </si>
  <si>
    <t>GASTO MENSUAL DIFERIDO AÑO 2024  5.1.2.06. AGOSTO 2024</t>
  </si>
  <si>
    <t>CUENTA (REPORTAR MÁXIMO A NIVEL 8)</t>
  </si>
  <si>
    <t>SALDO INICIAL</t>
  </si>
  <si>
    <t>DEBITOS PERIODO</t>
  </si>
  <si>
    <t>CREDITOS PERIODO</t>
  </si>
  <si>
    <t>SALDO FINAL</t>
  </si>
  <si>
    <t>5.1.2.06.</t>
  </si>
  <si>
    <t>Seguros, reaseguros y otras obligaciones</t>
  </si>
  <si>
    <t>5.1.2.06.01.</t>
  </si>
  <si>
    <t>Seguros</t>
  </si>
  <si>
    <t>BALANZA</t>
  </si>
  <si>
    <t>5.1.2.06.01.01.</t>
  </si>
  <si>
    <t>Seguros contra riesgos de trabajo</t>
  </si>
  <si>
    <t>5.1.2.06.01.01.0.</t>
  </si>
  <si>
    <t>5.1.2.06.01.01.0.99999</t>
  </si>
  <si>
    <t>5.1.2.06.01.04.</t>
  </si>
  <si>
    <t>Seguros voluntarios de automóviles</t>
  </si>
  <si>
    <t>5.1.2.06.01.04.0.</t>
  </si>
  <si>
    <t>5.1.2.06.01.04.0.99999</t>
  </si>
  <si>
    <t>Primas y gastos de seguros a devengar c/p A AGOSTO 2024</t>
  </si>
  <si>
    <t>1.1.9.</t>
  </si>
  <si>
    <t>Otros activos a corto plazo</t>
  </si>
  <si>
    <t>1.1.9.01.</t>
  </si>
  <si>
    <t>Gastos a devengar a corto plazo</t>
  </si>
  <si>
    <t>1.1.9.01.01.</t>
  </si>
  <si>
    <t>Servicios a devengar c/p</t>
  </si>
  <si>
    <t>1.1.9.01.01.01.</t>
  </si>
  <si>
    <t>1.1.9.01.01.01.0.</t>
  </si>
  <si>
    <t>1.1.9.01.01.01.0.99999</t>
  </si>
  <si>
    <t>Datos de balanza setiembre 2024</t>
  </si>
  <si>
    <t>Desembolso Junio 2024</t>
  </si>
  <si>
    <t>Pagos mes de Julio</t>
  </si>
  <si>
    <t>Pagos mes de Abril</t>
  </si>
  <si>
    <t>Pagos mes de Enero</t>
  </si>
  <si>
    <t>Saldo al 30-09-2024</t>
  </si>
  <si>
    <t>SALDO DE DEUDA PUBLICA</t>
  </si>
  <si>
    <t>PARA NOTA 86</t>
  </si>
  <si>
    <t>PARA NOTA 85</t>
  </si>
  <si>
    <t>SUPERAVIT/ DEFICIT CONTABILIDAD</t>
  </si>
  <si>
    <t>octubre 2024</t>
  </si>
  <si>
    <t>octubre 2023</t>
  </si>
  <si>
    <t>Antenas radares ( Equipo de comunicación )</t>
  </si>
  <si>
    <t>Listo</t>
  </si>
  <si>
    <t>Datos de balanza noviembre 2024</t>
  </si>
  <si>
    <t>LISTO</t>
  </si>
  <si>
    <t xml:space="preserve">LISTO </t>
  </si>
  <si>
    <t>DETALLE DE INVENTARIOS 
COMPARATIVO AL 30/11/2024-30/11/2023</t>
  </si>
  <si>
    <t>FALTA</t>
  </si>
  <si>
    <t>Documentos a pagar a corto plazo</t>
  </si>
  <si>
    <t>Documentos a pagar por alquileres y derechos sobre bienes c/p - Valor nominal</t>
  </si>
  <si>
    <t>2.1.1.04.04.01.</t>
  </si>
  <si>
    <t>listo</t>
  </si>
  <si>
    <t>DEPRECIACIÓN
ACUMULADA NOVIEMBRE 2024</t>
  </si>
  <si>
    <t>VALOR EN 
LIBROS NOVIEMBRE 2024</t>
  </si>
  <si>
    <t xml:space="preserve">Sistema de Posicionamiento Global </t>
  </si>
  <si>
    <t>Total Equipo Hidráulico</t>
  </si>
  <si>
    <t>Motocicleta Honda XR150L MOTOR KD07E2005047</t>
  </si>
  <si>
    <t>Total Equipo Telefónica</t>
  </si>
  <si>
    <t>Impresora, Epson, L575</t>
  </si>
  <si>
    <t>Impresora, Epson, L3150</t>
  </si>
  <si>
    <t>Impresora MP 501SPF 120V Marca RICOH con mesa gabinete</t>
  </si>
  <si>
    <t>Modulo FXO VoIP, Xorcom, FXO</t>
  </si>
  <si>
    <t>Caja Fuerte SEYMA</t>
  </si>
  <si>
    <t>2.1.1.04.</t>
  </si>
  <si>
    <t>Instituto de Fomento y Asesoría Municipal (IFAM) P Largo Plazo</t>
  </si>
  <si>
    <t>Fecha</t>
  </si>
  <si>
    <t>Fundamento</t>
  </si>
  <si>
    <t> Noviembre 2024</t>
  </si>
  <si>
    <t> Desembolso</t>
  </si>
  <si>
    <r>
      <t>₡</t>
    </r>
    <r>
      <rPr>
        <sz val="10"/>
        <color rgb="FF000000"/>
        <rFont val="Arial Narrow"/>
        <family val="2"/>
      </rPr>
      <t>430 965,36</t>
    </r>
  </si>
  <si>
    <t>Amortización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</si>
</sst>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7" formatCode="&quot;₡&quot;#,##0.00;\-&quot;₡&quot;#,##0.00"/>
    <numFmt numFmtId="8" formatCode="&quot;₡&quot;#,##0.00;[Red]\-&quot;₡&quot;#,##0.00"/>
    <numFmt numFmtId="41" formatCode="_-* #,##0_-;\-* #,##0_-;_-* &quot;-&quot;_-;_-@_-"/>
    <numFmt numFmtId="43" formatCode="_-* #,##0.00_-;\-* #,##0.00_-;_-* &quot;-&quot;??_-;_-@_-"/>
    <numFmt numFmtId="164" formatCode="[$-140A]General"/>
    <numFmt numFmtId="165" formatCode="[$₡]#,##0.00"/>
    <numFmt numFmtId="166" formatCode="&quot;₡&quot;#,##0.00"/>
    <numFmt numFmtId="167" formatCode="#,##0.00_ ;[Red]\-#,##0.00\ "/>
    <numFmt numFmtId="168" formatCode="#,##0.00_ ;\-#,##0.00\ "/>
    <numFmt numFmtId="169" formatCode="_-* #,##0.0_-;\-* #,##0.0_-;_-* &quot;-&quot;??_-;_-@_-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FFFF"/>
      <name val="Arial Narrow"/>
      <family val="2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9"/>
      <color rgb="FF000000"/>
      <name val="Arial Narrow"/>
      <family val="2"/>
    </font>
    <font>
      <sz val="11"/>
      <color rgb="FF9C6500"/>
      <name val="Calibri"/>
      <family val="2"/>
      <scheme val="minor"/>
    </font>
    <font>
      <b/>
      <sz val="9"/>
      <color theme="0"/>
      <name val="Arial Narrow"/>
      <family val="2"/>
    </font>
    <font>
      <sz val="10"/>
      <color theme="1"/>
      <name val="Arial Narrow"/>
      <family val="2"/>
    </font>
    <font>
      <b/>
      <sz val="9"/>
      <color rgb="FF000000"/>
      <name val="Arial Narrow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Arial Narrow"/>
      <family val="2"/>
    </font>
    <font>
      <sz val="12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8"/>
      <color theme="0"/>
      <name val="Arial Narrow"/>
      <family val="2"/>
    </font>
    <font>
      <b/>
      <sz val="11"/>
      <color theme="1"/>
      <name val="Arial Narrow"/>
      <family val="2"/>
    </font>
    <font>
      <b/>
      <sz val="10"/>
      <color rgb="FFFFFFFF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FFFFFF"/>
      <name val="Calibri"/>
      <family val="2"/>
      <scheme val="minor"/>
    </font>
    <font>
      <sz val="9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8"/>
      <color theme="1"/>
      <name val="Arial Narrow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Arial Narrow"/>
      <family val="2"/>
    </font>
    <font>
      <sz val="9"/>
      <color theme="0"/>
      <name val="Arial Narrow"/>
      <family val="2"/>
    </font>
    <font>
      <sz val="8"/>
      <name val="Arial Narrow"/>
      <family val="2"/>
    </font>
    <font>
      <sz val="9"/>
      <color rgb="FFFF0000"/>
      <name val="Arial Narrow"/>
      <family val="2"/>
    </font>
    <font>
      <b/>
      <sz val="9"/>
      <color rgb="FF000000"/>
      <name val="Arial"/>
      <family val="2"/>
    </font>
    <font>
      <sz val="18"/>
      <color theme="1"/>
      <name val="Calibri"/>
      <family val="2"/>
      <scheme val="minor"/>
    </font>
    <font>
      <sz val="10"/>
      <color rgb="FF676A6C"/>
      <name val="Arial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Arial Narrow"/>
      <family val="2"/>
    </font>
    <font>
      <sz val="10"/>
      <color theme="1"/>
      <name val="Courier New"/>
      <family val="3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1"/>
      <name val="Calibri"/>
      <family val="2"/>
      <scheme val="minor"/>
    </font>
    <font>
      <b/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Courier New"/>
      <family val="3"/>
    </font>
    <font>
      <b/>
      <sz val="9"/>
      <color rgb="FFFF0000"/>
      <name val="Arial Narrow"/>
      <family val="2"/>
    </font>
    <font>
      <b/>
      <sz val="8"/>
      <color theme="1"/>
      <name val="Calibri"/>
      <family val="2"/>
      <scheme val="minor"/>
    </font>
    <font>
      <sz val="10"/>
      <color rgb="FFFFFFFF"/>
      <name val="Arial Narrow"/>
      <family val="2"/>
    </font>
    <font>
      <sz val="10"/>
      <color rgb="FF00000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6609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22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164" fontId="30" fillId="0" borderId="0" applyBorder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8">
    <xf numFmtId="0" fontId="0" fillId="0" borderId="0" xfId="0"/>
    <xf numFmtId="0" fontId="17" fillId="33" borderId="11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vertical="center" wrapText="1"/>
    </xf>
    <xf numFmtId="10" fontId="18" fillId="34" borderId="13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18" fillId="34" borderId="13" xfId="0" applyNumberFormat="1" applyFont="1" applyFill="1" applyBorder="1" applyAlignment="1">
      <alignment horizontal="right" vertical="center" wrapText="1"/>
    </xf>
    <xf numFmtId="10" fontId="18" fillId="34" borderId="11" xfId="0" applyNumberFormat="1" applyFont="1" applyFill="1" applyBorder="1" applyAlignment="1">
      <alignment horizontal="right" vertical="center" wrapText="1"/>
    </xf>
    <xf numFmtId="0" fontId="17" fillId="33" borderId="18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18" fillId="34" borderId="17" xfId="0" applyFont="1" applyFill="1" applyBorder="1" applyAlignment="1">
      <alignment vertical="center" wrapText="1"/>
    </xf>
    <xf numFmtId="0" fontId="23" fillId="33" borderId="11" xfId="0" applyFont="1" applyFill="1" applyBorder="1" applyAlignment="1">
      <alignment horizontal="center" vertical="center" wrapText="1"/>
    </xf>
    <xf numFmtId="8" fontId="18" fillId="34" borderId="11" xfId="0" applyNumberFormat="1" applyFont="1" applyFill="1" applyBorder="1" applyAlignment="1">
      <alignment horizontal="right" vertical="center" wrapText="1"/>
    </xf>
    <xf numFmtId="10" fontId="18" fillId="34" borderId="0" xfId="0" applyNumberFormat="1" applyFont="1" applyFill="1" applyAlignment="1">
      <alignment horizontal="right" vertical="center" wrapText="1"/>
    </xf>
    <xf numFmtId="10" fontId="18" fillId="34" borderId="28" xfId="0" applyNumberFormat="1" applyFont="1" applyFill="1" applyBorder="1" applyAlignment="1">
      <alignment horizontal="right" vertical="center" wrapText="1"/>
    </xf>
    <xf numFmtId="10" fontId="18" fillId="34" borderId="30" xfId="0" applyNumberFormat="1" applyFont="1" applyFill="1" applyBorder="1" applyAlignment="1">
      <alignment horizontal="right" vertical="center" wrapText="1"/>
    </xf>
    <xf numFmtId="0" fontId="17" fillId="40" borderId="19" xfId="0" applyFont="1" applyFill="1" applyBorder="1" applyAlignment="1">
      <alignment horizontal="center" vertical="center" wrapText="1"/>
    </xf>
    <xf numFmtId="10" fontId="25" fillId="0" borderId="25" xfId="0" applyNumberFormat="1" applyFont="1" applyBorder="1" applyAlignment="1">
      <alignment horizontal="center" vertical="center"/>
    </xf>
    <xf numFmtId="4" fontId="24" fillId="0" borderId="0" xfId="0" applyNumberFormat="1" applyFont="1"/>
    <xf numFmtId="0" fontId="31" fillId="0" borderId="12" xfId="0" applyFont="1" applyBorder="1" applyAlignment="1">
      <alignment horizontal="center" vertical="top" wrapText="1"/>
    </xf>
    <xf numFmtId="0" fontId="32" fillId="0" borderId="13" xfId="0" applyFont="1" applyBorder="1" applyAlignment="1">
      <alignment horizontal="center" vertical="top" wrapText="1"/>
    </xf>
    <xf numFmtId="0" fontId="33" fillId="0" borderId="31" xfId="0" applyFont="1" applyBorder="1" applyAlignment="1">
      <alignment horizontal="justify" vertical="top" wrapText="1"/>
    </xf>
    <xf numFmtId="0" fontId="31" fillId="43" borderId="12" xfId="0" applyFont="1" applyFill="1" applyBorder="1" applyAlignment="1">
      <alignment horizontal="center" vertical="top" wrapText="1"/>
    </xf>
    <xf numFmtId="0" fontId="34" fillId="43" borderId="13" xfId="0" applyFont="1" applyFill="1" applyBorder="1" applyAlignment="1">
      <alignment vertical="top" wrapText="1"/>
    </xf>
    <xf numFmtId="0" fontId="34" fillId="43" borderId="31" xfId="0" applyFont="1" applyFill="1" applyBorder="1" applyAlignment="1">
      <alignment horizontal="justify" vertical="top" wrapText="1"/>
    </xf>
    <xf numFmtId="43" fontId="35" fillId="0" borderId="20" xfId="36" applyFont="1" applyBorder="1"/>
    <xf numFmtId="43" fontId="35" fillId="0" borderId="21" xfId="36" applyFont="1" applyBorder="1"/>
    <xf numFmtId="0" fontId="36" fillId="39" borderId="24" xfId="0" applyFont="1" applyFill="1" applyBorder="1" applyAlignment="1">
      <alignment horizontal="center" vertical="center" wrapText="1"/>
    </xf>
    <xf numFmtId="49" fontId="12" fillId="38" borderId="18" xfId="0" applyNumberFormat="1" applyFont="1" applyFill="1" applyBorder="1"/>
    <xf numFmtId="0" fontId="0" fillId="0" borderId="36" xfId="0" applyBorder="1"/>
    <xf numFmtId="49" fontId="12" fillId="38" borderId="32" xfId="0" applyNumberFormat="1" applyFont="1" applyFill="1" applyBorder="1" applyAlignment="1">
      <alignment horizontal="center"/>
    </xf>
    <xf numFmtId="0" fontId="38" fillId="0" borderId="0" xfId="0" applyFont="1"/>
    <xf numFmtId="1" fontId="38" fillId="0" borderId="22" xfId="0" applyNumberFormat="1" applyFont="1" applyBorder="1"/>
    <xf numFmtId="0" fontId="38" fillId="0" borderId="22" xfId="0" applyFont="1" applyBorder="1" applyAlignment="1">
      <alignment wrapText="1"/>
    </xf>
    <xf numFmtId="4" fontId="38" fillId="35" borderId="16" xfId="0" applyNumberFormat="1" applyFont="1" applyFill="1" applyBorder="1"/>
    <xf numFmtId="4" fontId="38" fillId="0" borderId="22" xfId="0" applyNumberFormat="1" applyFont="1" applyBorder="1"/>
    <xf numFmtId="4" fontId="38" fillId="0" borderId="43" xfId="0" applyNumberFormat="1" applyFont="1" applyBorder="1"/>
    <xf numFmtId="49" fontId="38" fillId="0" borderId="22" xfId="0" applyNumberFormat="1" applyFont="1" applyBorder="1"/>
    <xf numFmtId="49" fontId="38" fillId="0" borderId="22" xfId="0" applyNumberFormat="1" applyFont="1" applyBorder="1" applyAlignment="1">
      <alignment wrapText="1"/>
    </xf>
    <xf numFmtId="0" fontId="39" fillId="37" borderId="10" xfId="0" applyFont="1" applyFill="1" applyBorder="1" applyAlignment="1">
      <alignment horizontal="center" vertical="center"/>
    </xf>
    <xf numFmtId="0" fontId="39" fillId="37" borderId="10" xfId="0" applyFont="1" applyFill="1" applyBorder="1" applyAlignment="1">
      <alignment horizontal="center" vertical="center" wrapText="1"/>
    </xf>
    <xf numFmtId="49" fontId="37" fillId="36" borderId="10" xfId="0" applyNumberFormat="1" applyFont="1" applyFill="1" applyBorder="1"/>
    <xf numFmtId="49" fontId="37" fillId="36" borderId="10" xfId="0" applyNumberFormat="1" applyFont="1" applyFill="1" applyBorder="1" applyAlignment="1">
      <alignment wrapText="1"/>
    </xf>
    <xf numFmtId="0" fontId="24" fillId="0" borderId="48" xfId="0" applyFont="1" applyBorder="1" applyAlignment="1">
      <alignment vertical="center" wrapText="1"/>
    </xf>
    <xf numFmtId="0" fontId="41" fillId="0" borderId="0" xfId="0" applyFont="1" applyAlignment="1">
      <alignment vertical="center"/>
    </xf>
    <xf numFmtId="0" fontId="39" fillId="37" borderId="41" xfId="0" applyFont="1" applyFill="1" applyBorder="1" applyAlignment="1">
      <alignment horizontal="center" vertical="center"/>
    </xf>
    <xf numFmtId="0" fontId="39" fillId="37" borderId="49" xfId="0" applyFont="1" applyFill="1" applyBorder="1" applyAlignment="1">
      <alignment horizontal="center" vertical="center"/>
    </xf>
    <xf numFmtId="0" fontId="39" fillId="37" borderId="50" xfId="0" applyFont="1" applyFill="1" applyBorder="1" applyAlignment="1">
      <alignment horizontal="center" vertical="center" wrapText="1"/>
    </xf>
    <xf numFmtId="0" fontId="18" fillId="34" borderId="26" xfId="0" applyFont="1" applyFill="1" applyBorder="1" applyAlignment="1">
      <alignment vertical="center"/>
    </xf>
    <xf numFmtId="0" fontId="18" fillId="34" borderId="29" xfId="0" applyFont="1" applyFill="1" applyBorder="1" applyAlignment="1">
      <alignment vertical="center"/>
    </xf>
    <xf numFmtId="0" fontId="18" fillId="34" borderId="37" xfId="0" applyFont="1" applyFill="1" applyBorder="1" applyAlignment="1">
      <alignment vertical="center"/>
    </xf>
    <xf numFmtId="4" fontId="28" fillId="35" borderId="38" xfId="0" applyNumberFormat="1" applyFont="1" applyFill="1" applyBorder="1" applyAlignment="1">
      <alignment horizontal="right" vertical="center"/>
    </xf>
    <xf numFmtId="0" fontId="18" fillId="34" borderId="17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4" fontId="24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0" borderId="23" xfId="0" applyBorder="1" applyAlignment="1">
      <alignment vertical="center" wrapText="1"/>
    </xf>
    <xf numFmtId="0" fontId="15" fillId="0" borderId="24" xfId="0" applyFont="1" applyBorder="1" applyAlignment="1">
      <alignment horizontal="center" vertical="center" wrapText="1"/>
    </xf>
    <xf numFmtId="0" fontId="24" fillId="0" borderId="27" xfId="0" applyFont="1" applyBorder="1" applyAlignment="1">
      <alignment vertical="center" wrapText="1"/>
    </xf>
    <xf numFmtId="4" fontId="24" fillId="0" borderId="30" xfId="0" applyNumberFormat="1" applyFont="1" applyBorder="1" applyAlignment="1">
      <alignment vertical="center" wrapText="1"/>
    </xf>
    <xf numFmtId="4" fontId="24" fillId="0" borderId="46" xfId="0" applyNumberFormat="1" applyFont="1" applyBorder="1" applyAlignment="1">
      <alignment vertical="center" wrapText="1"/>
    </xf>
    <xf numFmtId="166" fontId="26" fillId="0" borderId="25" xfId="0" applyNumberFormat="1" applyFont="1" applyBorder="1" applyAlignment="1">
      <alignment vertical="center" wrapText="1"/>
    </xf>
    <xf numFmtId="0" fontId="37" fillId="42" borderId="18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justify" vertical="center" wrapText="1"/>
    </xf>
    <xf numFmtId="0" fontId="18" fillId="0" borderId="38" xfId="0" applyFont="1" applyBorder="1" applyAlignment="1">
      <alignment horizontal="justify" vertical="center" wrapText="1"/>
    </xf>
    <xf numFmtId="0" fontId="18" fillId="0" borderId="2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4" fontId="24" fillId="0" borderId="22" xfId="0" applyNumberFormat="1" applyFont="1" applyBorder="1"/>
    <xf numFmtId="0" fontId="24" fillId="0" borderId="0" xfId="0" applyFont="1"/>
    <xf numFmtId="49" fontId="44" fillId="39" borderId="10" xfId="0" quotePrefix="1" applyNumberFormat="1" applyFont="1" applyFill="1" applyBorder="1" applyAlignment="1">
      <alignment horizontal="center" vertical="center" wrapText="1"/>
    </xf>
    <xf numFmtId="1" fontId="44" fillId="39" borderId="10" xfId="0" quotePrefix="1" applyNumberFormat="1" applyFont="1" applyFill="1" applyBorder="1" applyAlignment="1">
      <alignment horizontal="center" vertical="center" wrapText="1"/>
    </xf>
    <xf numFmtId="4" fontId="24" fillId="35" borderId="22" xfId="0" applyNumberFormat="1" applyFont="1" applyFill="1" applyBorder="1" applyAlignment="1">
      <alignment wrapText="1"/>
    </xf>
    <xf numFmtId="1" fontId="24" fillId="35" borderId="22" xfId="0" applyNumberFormat="1" applyFont="1" applyFill="1" applyBorder="1" applyAlignment="1">
      <alignment horizontal="center"/>
    </xf>
    <xf numFmtId="4" fontId="24" fillId="35" borderId="22" xfId="0" applyNumberFormat="1" applyFont="1" applyFill="1" applyBorder="1"/>
    <xf numFmtId="0" fontId="24" fillId="0" borderId="22" xfId="0" applyFont="1" applyBorder="1" applyAlignment="1">
      <alignment wrapText="1"/>
    </xf>
    <xf numFmtId="4" fontId="24" fillId="35" borderId="12" xfId="0" applyNumberFormat="1" applyFont="1" applyFill="1" applyBorder="1"/>
    <xf numFmtId="0" fontId="26" fillId="0" borderId="10" xfId="0" applyFont="1" applyBorder="1" applyAlignment="1">
      <alignment wrapText="1"/>
    </xf>
    <xf numFmtId="1" fontId="26" fillId="35" borderId="10" xfId="0" applyNumberFormat="1" applyFont="1" applyFill="1" applyBorder="1" applyAlignment="1">
      <alignment horizontal="center"/>
    </xf>
    <xf numFmtId="4" fontId="26" fillId="35" borderId="10" xfId="0" applyNumberFormat="1" applyFont="1" applyFill="1" applyBorder="1"/>
    <xf numFmtId="4" fontId="24" fillId="45" borderId="22" xfId="0" applyNumberFormat="1" applyFont="1" applyFill="1" applyBorder="1"/>
    <xf numFmtId="4" fontId="24" fillId="35" borderId="18" xfId="0" applyNumberFormat="1" applyFont="1" applyFill="1" applyBorder="1" applyAlignment="1">
      <alignment wrapText="1"/>
    </xf>
    <xf numFmtId="4" fontId="24" fillId="35" borderId="12" xfId="0" applyNumberFormat="1" applyFont="1" applyFill="1" applyBorder="1" applyAlignment="1">
      <alignment wrapText="1"/>
    </xf>
    <xf numFmtId="0" fontId="24" fillId="35" borderId="22" xfId="0" applyFont="1" applyFill="1" applyBorder="1" applyAlignment="1">
      <alignment horizontal="center" wrapText="1"/>
    </xf>
    <xf numFmtId="1" fontId="24" fillId="35" borderId="12" xfId="0" applyNumberFormat="1" applyFont="1" applyFill="1" applyBorder="1" applyAlignment="1">
      <alignment horizontal="center"/>
    </xf>
    <xf numFmtId="4" fontId="24" fillId="35" borderId="10" xfId="0" applyNumberFormat="1" applyFont="1" applyFill="1" applyBorder="1" applyAlignment="1">
      <alignment horizontal="center"/>
    </xf>
    <xf numFmtId="4" fontId="24" fillId="0" borderId="10" xfId="0" applyNumberFormat="1" applyFont="1" applyBorder="1"/>
    <xf numFmtId="4" fontId="24" fillId="35" borderId="26" xfId="0" applyNumberFormat="1" applyFont="1" applyFill="1" applyBorder="1" applyAlignment="1">
      <alignment wrapText="1"/>
    </xf>
    <xf numFmtId="4" fontId="24" fillId="35" borderId="18" xfId="0" applyNumberFormat="1" applyFont="1" applyFill="1" applyBorder="1"/>
    <xf numFmtId="4" fontId="24" fillId="35" borderId="27" xfId="0" applyNumberFormat="1" applyFont="1" applyFill="1" applyBorder="1"/>
    <xf numFmtId="4" fontId="24" fillId="35" borderId="37" xfId="0" applyNumberFormat="1" applyFont="1" applyFill="1" applyBorder="1" applyAlignment="1">
      <alignment wrapText="1"/>
    </xf>
    <xf numFmtId="4" fontId="24" fillId="35" borderId="38" xfId="0" applyNumberFormat="1" applyFont="1" applyFill="1" applyBorder="1"/>
    <xf numFmtId="0" fontId="24" fillId="35" borderId="18" xfId="0" applyFont="1" applyFill="1" applyBorder="1" applyAlignment="1">
      <alignment horizontal="center" wrapText="1"/>
    </xf>
    <xf numFmtId="10" fontId="26" fillId="0" borderId="10" xfId="1" applyNumberFormat="1" applyFont="1" applyBorder="1"/>
    <xf numFmtId="0" fontId="18" fillId="0" borderId="2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4" fontId="24" fillId="0" borderId="12" xfId="0" applyNumberFormat="1" applyFont="1" applyBorder="1"/>
    <xf numFmtId="10" fontId="24" fillId="0" borderId="22" xfId="1" applyNumberFormat="1" applyFont="1" applyBorder="1"/>
    <xf numFmtId="10" fontId="24" fillId="0" borderId="12" xfId="1" applyNumberFormat="1" applyFont="1" applyBorder="1"/>
    <xf numFmtId="0" fontId="46" fillId="37" borderId="53" xfId="0" applyFont="1" applyFill="1" applyBorder="1" applyAlignment="1">
      <alignment horizontal="center" vertical="center"/>
    </xf>
    <xf numFmtId="0" fontId="46" fillId="37" borderId="53" xfId="0" applyFont="1" applyFill="1" applyBorder="1" applyAlignment="1">
      <alignment horizontal="center" vertical="center" wrapText="1"/>
    </xf>
    <xf numFmtId="4" fontId="26" fillId="0" borderId="10" xfId="0" applyNumberFormat="1" applyFont="1" applyBorder="1"/>
    <xf numFmtId="0" fontId="45" fillId="0" borderId="31" xfId="0" applyFont="1" applyBorder="1" applyAlignment="1">
      <alignment horizontal="center"/>
    </xf>
    <xf numFmtId="166" fontId="26" fillId="0" borderId="12" xfId="0" applyNumberFormat="1" applyFont="1" applyBorder="1"/>
    <xf numFmtId="10" fontId="29" fillId="0" borderId="52" xfId="1" applyNumberFormat="1" applyFont="1" applyFill="1" applyBorder="1" applyAlignment="1" applyProtection="1">
      <alignment horizontal="right" vertical="center"/>
      <protection hidden="1"/>
    </xf>
    <xf numFmtId="0" fontId="24" fillId="0" borderId="18" xfId="0" applyFont="1" applyBorder="1" applyAlignment="1" applyProtection="1">
      <alignment horizontal="left" vertical="center"/>
      <protection hidden="1"/>
    </xf>
    <xf numFmtId="0" fontId="24" fillId="0" borderId="12" xfId="0" applyFont="1" applyBorder="1" applyAlignment="1" applyProtection="1">
      <alignment horizontal="left" vertical="center"/>
      <protection hidden="1"/>
    </xf>
    <xf numFmtId="0" fontId="28" fillId="0" borderId="18" xfId="0" applyFont="1" applyBorder="1" applyAlignment="1" applyProtection="1">
      <alignment horizontal="left" vertical="center" wrapText="1"/>
      <protection hidden="1"/>
    </xf>
    <xf numFmtId="0" fontId="28" fillId="0" borderId="12" xfId="0" applyFont="1" applyBorder="1" applyAlignment="1" applyProtection="1">
      <alignment horizontal="left" vertical="center" wrapText="1"/>
      <protection hidden="1"/>
    </xf>
    <xf numFmtId="10" fontId="28" fillId="0" borderId="18" xfId="1" applyNumberFormat="1" applyFont="1" applyFill="1" applyBorder="1" applyAlignment="1" applyProtection="1">
      <alignment horizontal="right" vertical="center"/>
      <protection hidden="1"/>
    </xf>
    <xf numFmtId="10" fontId="28" fillId="0" borderId="12" xfId="1" applyNumberFormat="1" applyFont="1" applyFill="1" applyBorder="1" applyAlignment="1" applyProtection="1">
      <alignment horizontal="right" vertical="center"/>
      <protection hidden="1"/>
    </xf>
    <xf numFmtId="0" fontId="26" fillId="0" borderId="18" xfId="0" applyFont="1" applyBorder="1"/>
    <xf numFmtId="0" fontId="24" fillId="0" borderId="18" xfId="0" applyFont="1" applyBorder="1"/>
    <xf numFmtId="0" fontId="45" fillId="0" borderId="0" xfId="0" applyFont="1" applyAlignment="1">
      <alignment horizontal="center"/>
    </xf>
    <xf numFmtId="166" fontId="26" fillId="0" borderId="0" xfId="0" applyNumberFormat="1" applyFont="1"/>
    <xf numFmtId="10" fontId="29" fillId="0" borderId="0" xfId="1" applyNumberFormat="1" applyFont="1" applyFill="1" applyBorder="1" applyAlignment="1" applyProtection="1">
      <alignment horizontal="right" vertical="center"/>
      <protection hidden="1"/>
    </xf>
    <xf numFmtId="0" fontId="26" fillId="0" borderId="10" xfId="0" applyFont="1" applyBorder="1" applyAlignment="1">
      <alignment horizontal="center"/>
    </xf>
    <xf numFmtId="0" fontId="0" fillId="0" borderId="10" xfId="0" applyBorder="1"/>
    <xf numFmtId="166" fontId="26" fillId="0" borderId="10" xfId="0" applyNumberFormat="1" applyFont="1" applyBorder="1"/>
    <xf numFmtId="166" fontId="18" fillId="34" borderId="13" xfId="0" applyNumberFormat="1" applyFont="1" applyFill="1" applyBorder="1" applyAlignment="1">
      <alignment horizontal="right" vertical="center" wrapText="1"/>
    </xf>
    <xf numFmtId="0" fontId="17" fillId="33" borderId="22" xfId="0" applyFont="1" applyFill="1" applyBorder="1" applyAlignment="1">
      <alignment horizontal="center" vertical="center" wrapText="1"/>
    </xf>
    <xf numFmtId="0" fontId="17" fillId="33" borderId="13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18" fillId="34" borderId="0" xfId="0" applyFont="1" applyFill="1" applyAlignment="1">
      <alignment vertical="center" wrapText="1"/>
    </xf>
    <xf numFmtId="4" fontId="18" fillId="34" borderId="0" xfId="0" applyNumberFormat="1" applyFont="1" applyFill="1" applyAlignment="1">
      <alignment horizontal="right" vertical="center" wrapText="1"/>
    </xf>
    <xf numFmtId="0" fontId="17" fillId="33" borderId="19" xfId="0" applyFont="1" applyFill="1" applyBorder="1" applyAlignment="1">
      <alignment horizontal="center" vertical="center" wrapText="1"/>
    </xf>
    <xf numFmtId="0" fontId="23" fillId="33" borderId="19" xfId="0" applyFont="1" applyFill="1" applyBorder="1" applyAlignment="1">
      <alignment horizontal="center" vertical="center" wrapText="1"/>
    </xf>
    <xf numFmtId="4" fontId="24" fillId="34" borderId="48" xfId="0" applyNumberFormat="1" applyFont="1" applyFill="1" applyBorder="1" applyAlignment="1">
      <alignment horizontal="right" wrapText="1"/>
    </xf>
    <xf numFmtId="0" fontId="17" fillId="40" borderId="47" xfId="0" applyFont="1" applyFill="1" applyBorder="1" applyAlignment="1">
      <alignment horizontal="center" vertical="center" wrapText="1"/>
    </xf>
    <xf numFmtId="165" fontId="21" fillId="41" borderId="48" xfId="44" applyNumberFormat="1" applyFont="1" applyFill="1" applyBorder="1" applyAlignment="1" applyProtection="1">
      <alignment horizontal="right" vertical="center"/>
      <protection hidden="1"/>
    </xf>
    <xf numFmtId="43" fontId="0" fillId="0" borderId="0" xfId="0" applyNumberFormat="1"/>
    <xf numFmtId="4" fontId="24" fillId="35" borderId="10" xfId="0" applyNumberFormat="1" applyFont="1" applyFill="1" applyBorder="1" applyAlignment="1">
      <alignment wrapText="1"/>
    </xf>
    <xf numFmtId="0" fontId="26" fillId="0" borderId="0" xfId="0" applyFont="1"/>
    <xf numFmtId="4" fontId="26" fillId="0" borderId="22" xfId="0" applyNumberFormat="1" applyFont="1" applyBorder="1"/>
    <xf numFmtId="10" fontId="26" fillId="0" borderId="0" xfId="1" applyNumberFormat="1" applyFont="1" applyBorder="1"/>
    <xf numFmtId="4" fontId="26" fillId="0" borderId="0" xfId="0" applyNumberFormat="1" applyFont="1"/>
    <xf numFmtId="0" fontId="26" fillId="0" borderId="22" xfId="0" applyFont="1" applyBorder="1" applyAlignment="1">
      <alignment horizontal="center"/>
    </xf>
    <xf numFmtId="10" fontId="26" fillId="0" borderId="22" xfId="1" applyNumberFormat="1" applyFont="1" applyBorder="1"/>
    <xf numFmtId="166" fontId="24" fillId="35" borderId="22" xfId="0" applyNumberFormat="1" applyFont="1" applyFill="1" applyBorder="1"/>
    <xf numFmtId="166" fontId="24" fillId="0" borderId="22" xfId="0" applyNumberFormat="1" applyFont="1" applyBorder="1"/>
    <xf numFmtId="0" fontId="20" fillId="0" borderId="22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center"/>
    </xf>
    <xf numFmtId="10" fontId="24" fillId="0" borderId="22" xfId="1" quotePrefix="1" applyNumberFormat="1" applyFont="1" applyBorder="1" applyAlignment="1">
      <alignment horizontal="right"/>
    </xf>
    <xf numFmtId="10" fontId="24" fillId="0" borderId="22" xfId="1" applyNumberFormat="1" applyFont="1" applyBorder="1" applyAlignment="1">
      <alignment horizontal="right"/>
    </xf>
    <xf numFmtId="166" fontId="24" fillId="35" borderId="22" xfId="0" applyNumberFormat="1" applyFont="1" applyFill="1" applyBorder="1" applyAlignment="1">
      <alignment horizontal="right"/>
    </xf>
    <xf numFmtId="166" fontId="18" fillId="41" borderId="18" xfId="44" applyNumberFormat="1" applyFont="1" applyFill="1" applyBorder="1" applyAlignment="1" applyProtection="1">
      <alignment horizontal="right" vertical="center"/>
      <protection hidden="1"/>
    </xf>
    <xf numFmtId="0" fontId="18" fillId="34" borderId="55" xfId="0" applyFont="1" applyFill="1" applyBorder="1" applyAlignment="1">
      <alignment vertical="center"/>
    </xf>
    <xf numFmtId="0" fontId="18" fillId="34" borderId="31" xfId="0" applyFont="1" applyFill="1" applyBorder="1" applyAlignment="1">
      <alignment vertical="center" wrapText="1"/>
    </xf>
    <xf numFmtId="4" fontId="24" fillId="0" borderId="48" xfId="0" applyNumberFormat="1" applyFont="1" applyBorder="1" applyAlignment="1">
      <alignment vertical="center" wrapText="1"/>
    </xf>
    <xf numFmtId="0" fontId="15" fillId="0" borderId="56" xfId="0" applyFont="1" applyBorder="1" applyAlignment="1">
      <alignment horizontal="center" vertical="center" wrapText="1"/>
    </xf>
    <xf numFmtId="166" fontId="26" fillId="0" borderId="10" xfId="0" applyNumberFormat="1" applyFont="1" applyBorder="1" applyAlignment="1">
      <alignment vertical="center" wrapText="1"/>
    </xf>
    <xf numFmtId="0" fontId="39" fillId="37" borderId="47" xfId="0" applyFont="1" applyFill="1" applyBorder="1" applyAlignment="1">
      <alignment horizontal="center" vertical="center"/>
    </xf>
    <xf numFmtId="0" fontId="39" fillId="37" borderId="57" xfId="0" applyFont="1" applyFill="1" applyBorder="1" applyAlignment="1">
      <alignment horizontal="center" vertical="center"/>
    </xf>
    <xf numFmtId="0" fontId="39" fillId="37" borderId="58" xfId="0" applyFont="1" applyFill="1" applyBorder="1" applyAlignment="1">
      <alignment horizontal="center" vertical="center" wrapText="1"/>
    </xf>
    <xf numFmtId="0" fontId="39" fillId="37" borderId="59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vertical="center" wrapText="1"/>
    </xf>
    <xf numFmtId="4" fontId="24" fillId="0" borderId="38" xfId="0" applyNumberFormat="1" applyFont="1" applyBorder="1" applyAlignment="1">
      <alignment vertical="center" wrapText="1"/>
    </xf>
    <xf numFmtId="0" fontId="0" fillId="35" borderId="0" xfId="0" applyFill="1"/>
    <xf numFmtId="4" fontId="24" fillId="35" borderId="0" xfId="0" applyNumberFormat="1" applyFont="1" applyFill="1"/>
    <xf numFmtId="4" fontId="26" fillId="45" borderId="18" xfId="0" applyNumberFormat="1" applyFont="1" applyFill="1" applyBorder="1"/>
    <xf numFmtId="1" fontId="24" fillId="45" borderId="22" xfId="0" applyNumberFormat="1" applyFont="1" applyFill="1" applyBorder="1" applyAlignment="1">
      <alignment horizontal="center"/>
    </xf>
    <xf numFmtId="1" fontId="26" fillId="45" borderId="18" xfId="0" applyNumberFormat="1" applyFont="1" applyFill="1" applyBorder="1" applyAlignment="1">
      <alignment horizontal="center"/>
    </xf>
    <xf numFmtId="1" fontId="26" fillId="45" borderId="10" xfId="0" applyNumberFormat="1" applyFont="1" applyFill="1" applyBorder="1" applyAlignment="1">
      <alignment horizontal="center"/>
    </xf>
    <xf numFmtId="4" fontId="26" fillId="45" borderId="10" xfId="0" applyNumberFormat="1" applyFont="1" applyFill="1" applyBorder="1"/>
    <xf numFmtId="4" fontId="26" fillId="35" borderId="27" xfId="0" applyNumberFormat="1" applyFont="1" applyFill="1" applyBorder="1" applyAlignment="1">
      <alignment horizontal="center"/>
    </xf>
    <xf numFmtId="1" fontId="26" fillId="35" borderId="27" xfId="0" applyNumberFormat="1" applyFont="1" applyFill="1" applyBorder="1" applyAlignment="1">
      <alignment horizontal="center"/>
    </xf>
    <xf numFmtId="4" fontId="26" fillId="35" borderId="38" xfId="0" applyNumberFormat="1" applyFont="1" applyFill="1" applyBorder="1" applyAlignment="1">
      <alignment horizontal="center"/>
    </xf>
    <xf numFmtId="1" fontId="26" fillId="35" borderId="38" xfId="0" applyNumberFormat="1" applyFont="1" applyFill="1" applyBorder="1" applyAlignment="1">
      <alignment horizontal="center"/>
    </xf>
    <xf numFmtId="4" fontId="24" fillId="0" borderId="38" xfId="0" applyNumberFormat="1" applyFont="1" applyBorder="1"/>
    <xf numFmtId="4" fontId="24" fillId="35" borderId="10" xfId="0" applyNumberFormat="1" applyFont="1" applyFill="1" applyBorder="1"/>
    <xf numFmtId="4" fontId="24" fillId="0" borderId="35" xfId="0" applyNumberFormat="1" applyFont="1" applyBorder="1"/>
    <xf numFmtId="0" fontId="18" fillId="0" borderId="10" xfId="0" applyFont="1" applyBorder="1" applyAlignment="1">
      <alignment horizontal="left" vertical="center" wrapText="1"/>
    </xf>
    <xf numFmtId="4" fontId="18" fillId="35" borderId="48" xfId="0" applyNumberFormat="1" applyFont="1" applyFill="1" applyBorder="1" applyAlignment="1">
      <alignment horizontal="right" vertical="center" wrapText="1"/>
    </xf>
    <xf numFmtId="4" fontId="18" fillId="34" borderId="48" xfId="0" applyNumberFormat="1" applyFont="1" applyFill="1" applyBorder="1" applyAlignment="1">
      <alignment horizontal="right" vertical="center" wrapText="1"/>
    </xf>
    <xf numFmtId="0" fontId="18" fillId="34" borderId="26" xfId="0" applyFont="1" applyFill="1" applyBorder="1" applyAlignment="1">
      <alignment vertical="center" wrapText="1"/>
    </xf>
    <xf numFmtId="166" fontId="24" fillId="34" borderId="27" xfId="0" applyNumberFormat="1" applyFont="1" applyFill="1" applyBorder="1" applyAlignment="1">
      <alignment horizontal="right" wrapText="1"/>
    </xf>
    <xf numFmtId="166" fontId="18" fillId="34" borderId="27" xfId="0" applyNumberFormat="1" applyFont="1" applyFill="1" applyBorder="1" applyAlignment="1">
      <alignment horizontal="right" vertical="center" wrapText="1"/>
    </xf>
    <xf numFmtId="0" fontId="18" fillId="34" borderId="29" xfId="0" applyFont="1" applyFill="1" applyBorder="1" applyAlignment="1">
      <alignment vertical="center" wrapText="1"/>
    </xf>
    <xf numFmtId="0" fontId="18" fillId="34" borderId="37" xfId="0" applyFont="1" applyFill="1" applyBorder="1" applyAlignment="1">
      <alignment vertical="center" wrapText="1"/>
    </xf>
    <xf numFmtId="4" fontId="18" fillId="34" borderId="38" xfId="0" applyNumberFormat="1" applyFont="1" applyFill="1" applyBorder="1" applyAlignment="1">
      <alignment horizontal="right" vertical="center" wrapText="1"/>
    </xf>
    <xf numFmtId="4" fontId="18" fillId="35" borderId="38" xfId="0" applyNumberFormat="1" applyFont="1" applyFill="1" applyBorder="1" applyAlignment="1">
      <alignment horizontal="right" vertical="center" wrapText="1"/>
    </xf>
    <xf numFmtId="10" fontId="18" fillId="34" borderId="46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46" fillId="37" borderId="61" xfId="0" applyFont="1" applyFill="1" applyBorder="1" applyAlignment="1">
      <alignment horizontal="center" vertical="center"/>
    </xf>
    <xf numFmtId="0" fontId="46" fillId="37" borderId="62" xfId="0" applyFont="1" applyFill="1" applyBorder="1" applyAlignment="1">
      <alignment horizontal="center" vertical="center"/>
    </xf>
    <xf numFmtId="0" fontId="46" fillId="37" borderId="62" xfId="0" applyFont="1" applyFill="1" applyBorder="1" applyAlignment="1">
      <alignment horizontal="center" vertical="center" wrapText="1"/>
    </xf>
    <xf numFmtId="0" fontId="46" fillId="37" borderId="63" xfId="0" applyFont="1" applyFill="1" applyBorder="1" applyAlignment="1">
      <alignment horizontal="center" vertical="center" wrapText="1"/>
    </xf>
    <xf numFmtId="0" fontId="45" fillId="0" borderId="35" xfId="0" applyFont="1" applyBorder="1" applyAlignment="1">
      <alignment horizontal="center"/>
    </xf>
    <xf numFmtId="10" fontId="29" fillId="0" borderId="25" xfId="1" applyNumberFormat="1" applyFont="1" applyFill="1" applyBorder="1" applyAlignment="1" applyProtection="1">
      <alignment horizontal="right" vertical="center"/>
      <protection hidden="1"/>
    </xf>
    <xf numFmtId="166" fontId="26" fillId="0" borderId="25" xfId="0" applyNumberFormat="1" applyFont="1" applyBorder="1"/>
    <xf numFmtId="0" fontId="38" fillId="0" borderId="22" xfId="0" applyFont="1" applyBorder="1"/>
    <xf numFmtId="0" fontId="18" fillId="0" borderId="43" xfId="0" applyFont="1" applyBorder="1"/>
    <xf numFmtId="0" fontId="18" fillId="0" borderId="44" xfId="0" applyFont="1" applyBorder="1" applyAlignment="1">
      <alignment wrapText="1"/>
    </xf>
    <xf numFmtId="10" fontId="18" fillId="34" borderId="22" xfId="0" applyNumberFormat="1" applyFont="1" applyFill="1" applyBorder="1" applyAlignment="1">
      <alignment horizontal="right" vertical="center" wrapText="1"/>
    </xf>
    <xf numFmtId="10" fontId="18" fillId="34" borderId="12" xfId="0" applyNumberFormat="1" applyFont="1" applyFill="1" applyBorder="1" applyAlignment="1">
      <alignment horizontal="right" vertical="center" wrapText="1"/>
    </xf>
    <xf numFmtId="0" fontId="38" fillId="0" borderId="12" xfId="0" applyFont="1" applyBorder="1"/>
    <xf numFmtId="0" fontId="37" fillId="0" borderId="10" xfId="0" applyFont="1" applyBorder="1"/>
    <xf numFmtId="0" fontId="20" fillId="0" borderId="36" xfId="0" applyFont="1" applyBorder="1"/>
    <xf numFmtId="10" fontId="20" fillId="34" borderId="10" xfId="0" applyNumberFormat="1" applyFont="1" applyFill="1" applyBorder="1" applyAlignment="1">
      <alignment horizontal="right" vertical="center" wrapText="1"/>
    </xf>
    <xf numFmtId="0" fontId="20" fillId="0" borderId="36" xfId="0" applyFont="1" applyBorder="1" applyAlignment="1">
      <alignment wrapText="1"/>
    </xf>
    <xf numFmtId="166" fontId="24" fillId="0" borderId="0" xfId="0" applyNumberFormat="1" applyFont="1" applyAlignment="1">
      <alignment vertical="center" wrapText="1"/>
    </xf>
    <xf numFmtId="4" fontId="35" fillId="0" borderId="0" xfId="0" applyNumberFormat="1" applyFont="1"/>
    <xf numFmtId="0" fontId="0" fillId="0" borderId="0" xfId="0" applyAlignment="1">
      <alignment wrapText="1"/>
    </xf>
    <xf numFmtId="1" fontId="24" fillId="0" borderId="22" xfId="0" applyNumberFormat="1" applyFont="1" applyBorder="1"/>
    <xf numFmtId="1" fontId="24" fillId="0" borderId="22" xfId="0" applyNumberFormat="1" applyFont="1" applyBorder="1" applyAlignment="1">
      <alignment vertical="center"/>
    </xf>
    <xf numFmtId="1" fontId="24" fillId="0" borderId="10" xfId="0" applyNumberFormat="1" applyFont="1" applyBorder="1" applyAlignment="1">
      <alignment vertical="center"/>
    </xf>
    <xf numFmtId="0" fontId="0" fillId="0" borderId="18" xfId="0" applyBorder="1"/>
    <xf numFmtId="1" fontId="24" fillId="0" borderId="10" xfId="0" applyNumberFormat="1" applyFont="1" applyBorder="1" applyAlignment="1">
      <alignment vertical="center" wrapText="1"/>
    </xf>
    <xf numFmtId="4" fontId="24" fillId="0" borderId="10" xfId="0" applyNumberFormat="1" applyFont="1" applyBorder="1" applyAlignment="1">
      <alignment vertical="center"/>
    </xf>
    <xf numFmtId="166" fontId="24" fillId="0" borderId="10" xfId="0" applyNumberFormat="1" applyFont="1" applyBorder="1" applyAlignment="1">
      <alignment vertical="center"/>
    </xf>
    <xf numFmtId="0" fontId="49" fillId="37" borderId="41" xfId="0" applyFont="1" applyFill="1" applyBorder="1" applyAlignment="1">
      <alignment horizontal="center" vertical="center"/>
    </xf>
    <xf numFmtId="0" fontId="49" fillId="37" borderId="49" xfId="0" applyFont="1" applyFill="1" applyBorder="1" applyAlignment="1">
      <alignment horizontal="center" vertical="center"/>
    </xf>
    <xf numFmtId="0" fontId="49" fillId="37" borderId="50" xfId="0" applyFont="1" applyFill="1" applyBorder="1" applyAlignment="1">
      <alignment horizontal="center" vertical="center" wrapText="1"/>
    </xf>
    <xf numFmtId="0" fontId="49" fillId="37" borderId="40" xfId="0" applyFont="1" applyFill="1" applyBorder="1" applyAlignment="1">
      <alignment horizontal="center" vertical="center" wrapText="1"/>
    </xf>
    <xf numFmtId="0" fontId="21" fillId="34" borderId="45" xfId="0" applyFont="1" applyFill="1" applyBorder="1" applyAlignment="1">
      <alignment vertical="center"/>
    </xf>
    <xf numFmtId="0" fontId="21" fillId="34" borderId="45" xfId="0" applyFont="1" applyFill="1" applyBorder="1" applyAlignment="1">
      <alignment vertical="center" wrapText="1"/>
    </xf>
    <xf numFmtId="166" fontId="21" fillId="34" borderId="42" xfId="0" applyNumberFormat="1" applyFont="1" applyFill="1" applyBorder="1" applyAlignment="1">
      <alignment vertical="center" wrapText="1"/>
    </xf>
    <xf numFmtId="166" fontId="50" fillId="35" borderId="27" xfId="0" applyNumberFormat="1" applyFont="1" applyFill="1" applyBorder="1" applyAlignment="1">
      <alignment horizontal="right" vertical="center"/>
    </xf>
    <xf numFmtId="10" fontId="38" fillId="0" borderId="28" xfId="1" applyNumberFormat="1" applyFont="1" applyBorder="1"/>
    <xf numFmtId="0" fontId="21" fillId="34" borderId="33" xfId="0" applyFont="1" applyFill="1" applyBorder="1" applyAlignment="1">
      <alignment vertical="center"/>
    </xf>
    <xf numFmtId="0" fontId="21" fillId="34" borderId="33" xfId="0" applyFont="1" applyFill="1" applyBorder="1" applyAlignment="1">
      <alignment vertical="center" wrapText="1"/>
    </xf>
    <xf numFmtId="4" fontId="21" fillId="34" borderId="39" xfId="0" applyNumberFormat="1" applyFont="1" applyFill="1" applyBorder="1" applyAlignment="1">
      <alignment vertical="center" wrapText="1"/>
    </xf>
    <xf numFmtId="4" fontId="50" fillId="35" borderId="48" xfId="0" applyNumberFormat="1" applyFont="1" applyFill="1" applyBorder="1" applyAlignment="1">
      <alignment horizontal="right" vertical="center"/>
    </xf>
    <xf numFmtId="10" fontId="38" fillId="0" borderId="30" xfId="1" applyNumberFormat="1" applyFont="1" applyBorder="1"/>
    <xf numFmtId="0" fontId="21" fillId="34" borderId="17" xfId="0" applyFont="1" applyFill="1" applyBorder="1" applyAlignment="1">
      <alignment vertical="center"/>
    </xf>
    <xf numFmtId="0" fontId="21" fillId="34" borderId="17" xfId="0" applyFont="1" applyFill="1" applyBorder="1" applyAlignment="1">
      <alignment vertical="center" wrapText="1"/>
    </xf>
    <xf numFmtId="4" fontId="21" fillId="34" borderId="51" xfId="0" applyNumberFormat="1" applyFont="1" applyFill="1" applyBorder="1" applyAlignment="1">
      <alignment vertical="center" wrapText="1"/>
    </xf>
    <xf numFmtId="4" fontId="50" fillId="35" borderId="38" xfId="0" applyNumberFormat="1" applyFont="1" applyFill="1" applyBorder="1" applyAlignment="1">
      <alignment horizontal="right" vertical="center"/>
    </xf>
    <xf numFmtId="0" fontId="35" fillId="0" borderId="36" xfId="0" applyFont="1" applyBorder="1"/>
    <xf numFmtId="0" fontId="25" fillId="34" borderId="35" xfId="0" applyFont="1" applyFill="1" applyBorder="1" applyAlignment="1">
      <alignment horizontal="center" vertical="center" wrapText="1"/>
    </xf>
    <xf numFmtId="166" fontId="25" fillId="34" borderId="24" xfId="0" applyNumberFormat="1" applyFont="1" applyFill="1" applyBorder="1" applyAlignment="1">
      <alignment vertical="center" wrapText="1"/>
    </xf>
    <xf numFmtId="10" fontId="37" fillId="0" borderId="25" xfId="1" applyNumberFormat="1" applyFont="1" applyBorder="1"/>
    <xf numFmtId="0" fontId="46" fillId="46" borderId="64" xfId="0" applyFont="1" applyFill="1" applyBorder="1" applyAlignment="1">
      <alignment horizontal="center" vertical="center"/>
    </xf>
    <xf numFmtId="0" fontId="46" fillId="46" borderId="65" xfId="0" applyFont="1" applyFill="1" applyBorder="1" applyAlignment="1">
      <alignment horizontal="center" vertical="center"/>
    </xf>
    <xf numFmtId="0" fontId="18" fillId="0" borderId="66" xfId="0" applyFont="1" applyBorder="1" applyAlignment="1">
      <alignment vertical="center"/>
    </xf>
    <xf numFmtId="0" fontId="18" fillId="0" borderId="67" xfId="0" applyFont="1" applyBorder="1" applyAlignment="1">
      <alignment vertical="center"/>
    </xf>
    <xf numFmtId="0" fontId="20" fillId="0" borderId="68" xfId="0" applyFont="1" applyBorder="1" applyAlignment="1">
      <alignment horizontal="center" vertical="center"/>
    </xf>
    <xf numFmtId="165" fontId="21" fillId="41" borderId="21" xfId="44" applyNumberFormat="1" applyFont="1" applyFill="1" applyBorder="1" applyAlignment="1" applyProtection="1">
      <alignment horizontal="right" vertical="center"/>
      <protection hidden="1"/>
    </xf>
    <xf numFmtId="0" fontId="46" fillId="37" borderId="61" xfId="0" applyFont="1" applyFill="1" applyBorder="1" applyAlignment="1">
      <alignment horizontal="center" vertical="center" wrapText="1"/>
    </xf>
    <xf numFmtId="3" fontId="24" fillId="45" borderId="18" xfId="0" applyNumberFormat="1" applyFont="1" applyFill="1" applyBorder="1" applyAlignment="1">
      <alignment horizontal="center"/>
    </xf>
    <xf numFmtId="3" fontId="24" fillId="45" borderId="22" xfId="0" applyNumberFormat="1" applyFont="1" applyFill="1" applyBorder="1" applyAlignment="1">
      <alignment horizontal="center"/>
    </xf>
    <xf numFmtId="3" fontId="24" fillId="45" borderId="12" xfId="0" applyNumberFormat="1" applyFont="1" applyFill="1" applyBorder="1" applyAlignment="1">
      <alignment horizontal="center"/>
    </xf>
    <xf numFmtId="0" fontId="15" fillId="45" borderId="54" xfId="0" applyFont="1" applyFill="1" applyBorder="1" applyAlignment="1">
      <alignment horizontal="center"/>
    </xf>
    <xf numFmtId="1" fontId="26" fillId="45" borderId="27" xfId="0" applyNumberFormat="1" applyFont="1" applyFill="1" applyBorder="1" applyAlignment="1">
      <alignment horizontal="center"/>
    </xf>
    <xf numFmtId="1" fontId="26" fillId="45" borderId="38" xfId="0" applyNumberFormat="1" applyFont="1" applyFill="1" applyBorder="1" applyAlignment="1">
      <alignment horizontal="center"/>
    </xf>
    <xf numFmtId="0" fontId="15" fillId="45" borderId="24" xfId="0" applyFont="1" applyFill="1" applyBorder="1" applyAlignment="1">
      <alignment horizontal="center"/>
    </xf>
    <xf numFmtId="4" fontId="24" fillId="45" borderId="18" xfId="0" applyNumberFormat="1" applyFont="1" applyFill="1" applyBorder="1"/>
    <xf numFmtId="4" fontId="24" fillId="45" borderId="12" xfId="0" applyNumberFormat="1" applyFont="1" applyFill="1" applyBorder="1"/>
    <xf numFmtId="4" fontId="26" fillId="45" borderId="54" xfId="0" applyNumberFormat="1" applyFont="1" applyFill="1" applyBorder="1"/>
    <xf numFmtId="4" fontId="24" fillId="45" borderId="27" xfId="0" applyNumberFormat="1" applyFont="1" applyFill="1" applyBorder="1"/>
    <xf numFmtId="4" fontId="24" fillId="45" borderId="38" xfId="0" applyNumberFormat="1" applyFont="1" applyFill="1" applyBorder="1"/>
    <xf numFmtId="4" fontId="24" fillId="45" borderId="10" xfId="0" applyNumberFormat="1" applyFont="1" applyFill="1" applyBorder="1"/>
    <xf numFmtId="4" fontId="26" fillId="45" borderId="24" xfId="0" applyNumberFormat="1" applyFont="1" applyFill="1" applyBorder="1"/>
    <xf numFmtId="4" fontId="26" fillId="45" borderId="60" xfId="0" applyNumberFormat="1" applyFont="1" applyFill="1" applyBorder="1"/>
    <xf numFmtId="4" fontId="24" fillId="45" borderId="28" xfId="0" applyNumberFormat="1" applyFont="1" applyFill="1" applyBorder="1"/>
    <xf numFmtId="4" fontId="24" fillId="45" borderId="11" xfId="0" applyNumberFormat="1" applyFont="1" applyFill="1" applyBorder="1"/>
    <xf numFmtId="4" fontId="26" fillId="45" borderId="25" xfId="0" applyNumberFormat="1" applyFont="1" applyFill="1" applyBorder="1"/>
    <xf numFmtId="4" fontId="51" fillId="47" borderId="10" xfId="0" applyNumberFormat="1" applyFont="1" applyFill="1" applyBorder="1" applyAlignment="1">
      <alignment wrapText="1"/>
    </xf>
    <xf numFmtId="4" fontId="52" fillId="47" borderId="10" xfId="0" applyNumberFormat="1" applyFont="1" applyFill="1" applyBorder="1"/>
    <xf numFmtId="1" fontId="51" fillId="47" borderId="10" xfId="0" applyNumberFormat="1" applyFont="1" applyFill="1" applyBorder="1" applyAlignment="1">
      <alignment horizontal="center"/>
    </xf>
    <xf numFmtId="4" fontId="51" fillId="47" borderId="10" xfId="0" applyNumberFormat="1" applyFont="1" applyFill="1" applyBorder="1"/>
    <xf numFmtId="0" fontId="26" fillId="45" borderId="36" xfId="0" applyFont="1" applyFill="1" applyBorder="1" applyAlignment="1">
      <alignment wrapText="1"/>
    </xf>
    <xf numFmtId="0" fontId="26" fillId="45" borderId="43" xfId="0" applyFont="1" applyFill="1" applyBorder="1" applyAlignment="1">
      <alignment wrapText="1"/>
    </xf>
    <xf numFmtId="0" fontId="26" fillId="45" borderId="18" xfId="0" applyFont="1" applyFill="1" applyBorder="1" applyAlignment="1">
      <alignment wrapText="1"/>
    </xf>
    <xf numFmtId="10" fontId="24" fillId="0" borderId="10" xfId="1" applyNumberFormat="1" applyFont="1" applyBorder="1" applyAlignment="1">
      <alignment vertical="center"/>
    </xf>
    <xf numFmtId="4" fontId="0" fillId="0" borderId="16" xfId="0" applyNumberFormat="1" applyBorder="1"/>
    <xf numFmtId="0" fontId="24" fillId="0" borderId="78" xfId="0" applyFont="1" applyBorder="1" applyAlignment="1">
      <alignment horizontal="left" vertical="center" wrapText="1"/>
    </xf>
    <xf numFmtId="0" fontId="18" fillId="0" borderId="79" xfId="0" applyFont="1" applyBorder="1" applyAlignment="1">
      <alignment vertical="center"/>
    </xf>
    <xf numFmtId="0" fontId="24" fillId="0" borderId="80" xfId="0" applyFont="1" applyBorder="1" applyAlignment="1">
      <alignment horizontal="left" vertical="center" wrapText="1"/>
    </xf>
    <xf numFmtId="10" fontId="21" fillId="0" borderId="81" xfId="0" applyNumberFormat="1" applyFont="1" applyBorder="1" applyAlignment="1">
      <alignment horizontal="center" vertical="center"/>
    </xf>
    <xf numFmtId="0" fontId="18" fillId="0" borderId="82" xfId="0" applyFont="1" applyBorder="1" applyAlignment="1">
      <alignment vertical="center"/>
    </xf>
    <xf numFmtId="10" fontId="21" fillId="0" borderId="83" xfId="0" applyNumberFormat="1" applyFont="1" applyBorder="1" applyAlignment="1">
      <alignment horizontal="center" vertical="center"/>
    </xf>
    <xf numFmtId="0" fontId="18" fillId="0" borderId="84" xfId="0" applyFont="1" applyBorder="1" applyAlignment="1">
      <alignment vertical="center"/>
    </xf>
    <xf numFmtId="0" fontId="24" fillId="0" borderId="24" xfId="0" applyFont="1" applyBorder="1" applyAlignment="1">
      <alignment horizontal="left" vertical="center" wrapText="1"/>
    </xf>
    <xf numFmtId="10" fontId="21" fillId="0" borderId="25" xfId="0" applyNumberFormat="1" applyFont="1" applyBorder="1" applyAlignment="1">
      <alignment horizontal="center" vertical="center"/>
    </xf>
    <xf numFmtId="166" fontId="37" fillId="36" borderId="11" xfId="0" applyNumberFormat="1" applyFont="1" applyFill="1" applyBorder="1"/>
    <xf numFmtId="166" fontId="40" fillId="38" borderId="10" xfId="0" applyNumberFormat="1" applyFont="1" applyFill="1" applyBorder="1"/>
    <xf numFmtId="7" fontId="35" fillId="0" borderId="20" xfId="36" applyNumberFormat="1" applyFont="1" applyBorder="1"/>
    <xf numFmtId="7" fontId="33" fillId="43" borderId="23" xfId="36" applyNumberFormat="1" applyFont="1" applyFill="1" applyBorder="1" applyAlignment="1">
      <alignment horizontal="justify" vertical="top" wrapText="1"/>
    </xf>
    <xf numFmtId="7" fontId="33" fillId="43" borderId="25" xfId="36" applyNumberFormat="1" applyFont="1" applyFill="1" applyBorder="1" applyAlignment="1">
      <alignment horizontal="justify" vertical="top" wrapText="1"/>
    </xf>
    <xf numFmtId="165" fontId="21" fillId="41" borderId="80" xfId="44" applyNumberFormat="1" applyFont="1" applyFill="1" applyBorder="1" applyAlignment="1" applyProtection="1">
      <alignment horizontal="right" vertical="center"/>
      <protection hidden="1"/>
    </xf>
    <xf numFmtId="8" fontId="25" fillId="34" borderId="10" xfId="0" applyNumberFormat="1" applyFont="1" applyFill="1" applyBorder="1" applyAlignment="1">
      <alignment horizontal="right" vertical="center" wrapText="1"/>
    </xf>
    <xf numFmtId="7" fontId="37" fillId="34" borderId="10" xfId="0" applyNumberFormat="1" applyFont="1" applyFill="1" applyBorder="1" applyAlignment="1">
      <alignment horizontal="right" vertical="center" wrapText="1"/>
    </xf>
    <xf numFmtId="167" fontId="21" fillId="34" borderId="22" xfId="0" applyNumberFormat="1" applyFont="1" applyFill="1" applyBorder="1" applyAlignment="1">
      <alignment horizontal="right" vertical="center" wrapText="1"/>
    </xf>
    <xf numFmtId="7" fontId="38" fillId="34" borderId="22" xfId="0" applyNumberFormat="1" applyFont="1" applyFill="1" applyBorder="1" applyAlignment="1">
      <alignment horizontal="right" vertical="center" wrapText="1"/>
    </xf>
    <xf numFmtId="4" fontId="21" fillId="34" borderId="22" xfId="0" applyNumberFormat="1" applyFont="1" applyFill="1" applyBorder="1" applyAlignment="1">
      <alignment horizontal="right" vertical="center" wrapText="1"/>
    </xf>
    <xf numFmtId="4" fontId="25" fillId="34" borderId="10" xfId="0" applyNumberFormat="1" applyFont="1" applyFill="1" applyBorder="1" applyAlignment="1">
      <alignment horizontal="right" vertical="center" wrapText="1"/>
    </xf>
    <xf numFmtId="4" fontId="21" fillId="34" borderId="12" xfId="0" applyNumberFormat="1" applyFont="1" applyFill="1" applyBorder="1" applyAlignment="1">
      <alignment horizontal="right" vertical="center" wrapText="1"/>
    </xf>
    <xf numFmtId="7" fontId="25" fillId="34" borderId="10" xfId="0" applyNumberFormat="1" applyFont="1" applyFill="1" applyBorder="1" applyAlignment="1">
      <alignment horizontal="right" vertical="center" wrapText="1"/>
    </xf>
    <xf numFmtId="8" fontId="25" fillId="34" borderId="15" xfId="0" applyNumberFormat="1" applyFont="1" applyFill="1" applyBorder="1" applyAlignment="1">
      <alignment horizontal="right" vertical="center" wrapText="1"/>
    </xf>
    <xf numFmtId="10" fontId="25" fillId="34" borderId="15" xfId="1" applyNumberFormat="1" applyFont="1" applyFill="1" applyBorder="1" applyAlignment="1">
      <alignment horizontal="right" vertical="center" wrapText="1"/>
    </xf>
    <xf numFmtId="7" fontId="25" fillId="34" borderId="15" xfId="0" applyNumberFormat="1" applyFont="1" applyFill="1" applyBorder="1" applyAlignment="1">
      <alignment horizontal="right" vertical="center" wrapText="1"/>
    </xf>
    <xf numFmtId="0" fontId="20" fillId="0" borderId="18" xfId="0" applyFont="1" applyBorder="1" applyAlignment="1">
      <alignment horizontal="left" vertical="center" wrapText="1"/>
    </xf>
    <xf numFmtId="166" fontId="24" fillId="35" borderId="18" xfId="0" applyNumberFormat="1" applyFont="1" applyFill="1" applyBorder="1"/>
    <xf numFmtId="166" fontId="24" fillId="0" borderId="18" xfId="0" applyNumberFormat="1" applyFont="1" applyBorder="1"/>
    <xf numFmtId="10" fontId="24" fillId="0" borderId="18" xfId="1" applyNumberFormat="1" applyFont="1" applyBorder="1"/>
    <xf numFmtId="0" fontId="26" fillId="0" borderId="12" xfId="0" applyFont="1" applyBorder="1" applyAlignment="1">
      <alignment horizontal="center"/>
    </xf>
    <xf numFmtId="0" fontId="46" fillId="37" borderId="85" xfId="0" applyFont="1" applyFill="1" applyBorder="1" applyAlignment="1">
      <alignment horizontal="center" vertical="center"/>
    </xf>
    <xf numFmtId="0" fontId="46" fillId="37" borderId="86" xfId="0" applyFont="1" applyFill="1" applyBorder="1" applyAlignment="1">
      <alignment horizontal="center" vertical="center"/>
    </xf>
    <xf numFmtId="0" fontId="46" fillId="37" borderId="86" xfId="0" applyFont="1" applyFill="1" applyBorder="1" applyAlignment="1">
      <alignment horizontal="center" vertical="center" wrapText="1"/>
    </xf>
    <xf numFmtId="0" fontId="46" fillId="37" borderId="87" xfId="0" applyFont="1" applyFill="1" applyBorder="1" applyAlignment="1">
      <alignment horizontal="center" vertical="center" wrapText="1"/>
    </xf>
    <xf numFmtId="10" fontId="38" fillId="0" borderId="18" xfId="0" applyNumberFormat="1" applyFont="1" applyBorder="1"/>
    <xf numFmtId="10" fontId="38" fillId="0" borderId="22" xfId="0" applyNumberFormat="1" applyFont="1" applyBorder="1"/>
    <xf numFmtId="10" fontId="38" fillId="0" borderId="12" xfId="0" applyNumberFormat="1" applyFont="1" applyBorder="1"/>
    <xf numFmtId="10" fontId="37" fillId="36" borderId="22" xfId="0" applyNumberFormat="1" applyFont="1" applyFill="1" applyBorder="1"/>
    <xf numFmtId="4" fontId="38" fillId="35" borderId="0" xfId="0" applyNumberFormat="1" applyFont="1" applyFill="1"/>
    <xf numFmtId="10" fontId="40" fillId="38" borderId="34" xfId="1" applyNumberFormat="1" applyFont="1" applyFill="1" applyBorder="1"/>
    <xf numFmtId="10" fontId="38" fillId="0" borderId="22" xfId="1" applyNumberFormat="1" applyFont="1" applyBorder="1" applyAlignment="1">
      <alignment horizontal="center"/>
    </xf>
    <xf numFmtId="10" fontId="38" fillId="0" borderId="12" xfId="1" applyNumberFormat="1" applyFont="1" applyBorder="1" applyAlignment="1">
      <alignment horizontal="center"/>
    </xf>
    <xf numFmtId="10" fontId="37" fillId="36" borderId="18" xfId="1" applyNumberFormat="1" applyFont="1" applyFill="1" applyBorder="1" applyAlignment="1">
      <alignment horizontal="center"/>
    </xf>
    <xf numFmtId="0" fontId="20" fillId="0" borderId="12" xfId="0" applyFont="1" applyBorder="1" applyAlignment="1">
      <alignment horizontal="center" vertical="center"/>
    </xf>
    <xf numFmtId="0" fontId="28" fillId="0" borderId="78" xfId="0" applyFont="1" applyBorder="1" applyAlignment="1" applyProtection="1">
      <alignment horizontal="left" vertical="center" wrapText="1"/>
      <protection hidden="1"/>
    </xf>
    <xf numFmtId="4" fontId="24" fillId="0" borderId="78" xfId="0" applyNumberFormat="1" applyFont="1" applyBorder="1" applyAlignment="1">
      <alignment horizontal="right"/>
    </xf>
    <xf numFmtId="4" fontId="28" fillId="0" borderId="78" xfId="0" applyNumberFormat="1" applyFont="1" applyBorder="1" applyAlignment="1" applyProtection="1">
      <alignment horizontal="right" vertical="center"/>
      <protection hidden="1"/>
    </xf>
    <xf numFmtId="1" fontId="24" fillId="0" borderId="12" xfId="0" applyNumberFormat="1" applyFont="1" applyBorder="1" applyAlignment="1">
      <alignment vertical="center"/>
    </xf>
    <xf numFmtId="166" fontId="38" fillId="0" borderId="24" xfId="0" applyNumberFormat="1" applyFont="1" applyBorder="1" applyAlignment="1">
      <alignment vertical="center"/>
    </xf>
    <xf numFmtId="166" fontId="38" fillId="0" borderId="24" xfId="0" applyNumberFormat="1" applyFont="1" applyBorder="1" applyAlignment="1">
      <alignment horizontal="right" vertical="center"/>
    </xf>
    <xf numFmtId="7" fontId="25" fillId="0" borderId="10" xfId="0" applyNumberFormat="1" applyFont="1" applyBorder="1" applyAlignment="1">
      <alignment vertical="center"/>
    </xf>
    <xf numFmtId="7" fontId="25" fillId="0" borderId="11" xfId="0" applyNumberFormat="1" applyFont="1" applyBorder="1" applyAlignment="1">
      <alignment vertical="center"/>
    </xf>
    <xf numFmtId="7" fontId="25" fillId="0" borderId="11" xfId="0" applyNumberFormat="1" applyFont="1" applyBorder="1" applyAlignment="1">
      <alignment horizontal="right" vertical="center"/>
    </xf>
    <xf numFmtId="8" fontId="21" fillId="0" borderId="27" xfId="0" applyNumberFormat="1" applyFont="1" applyBorder="1" applyAlignment="1">
      <alignment horizontal="right" vertical="center"/>
    </xf>
    <xf numFmtId="166" fontId="21" fillId="0" borderId="27" xfId="0" applyNumberFormat="1" applyFont="1" applyBorder="1" applyAlignment="1">
      <alignment horizontal="right" vertical="center"/>
    </xf>
    <xf numFmtId="167" fontId="21" fillId="0" borderId="38" xfId="0" applyNumberFormat="1" applyFont="1" applyBorder="1" applyAlignment="1">
      <alignment horizontal="right" vertical="center"/>
    </xf>
    <xf numFmtId="4" fontId="21" fillId="0" borderId="38" xfId="0" applyNumberFormat="1" applyFont="1" applyBorder="1" applyAlignment="1">
      <alignment horizontal="right" vertical="center"/>
    </xf>
    <xf numFmtId="10" fontId="38" fillId="0" borderId="46" xfId="1" applyNumberFormat="1" applyFont="1" applyBorder="1"/>
    <xf numFmtId="8" fontId="25" fillId="0" borderId="11" xfId="0" applyNumberFormat="1" applyFont="1" applyBorder="1" applyAlignment="1">
      <alignment horizontal="right" vertical="center"/>
    </xf>
    <xf numFmtId="166" fontId="25" fillId="0" borderId="11" xfId="0" applyNumberFormat="1" applyFont="1" applyBorder="1" applyAlignment="1">
      <alignment horizontal="right" vertical="center"/>
    </xf>
    <xf numFmtId="10" fontId="37" fillId="0" borderId="11" xfId="1" applyNumberFormat="1" applyFont="1" applyBorder="1"/>
    <xf numFmtId="0" fontId="24" fillId="0" borderId="78" xfId="0" applyFont="1" applyBorder="1" applyAlignment="1" applyProtection="1">
      <alignment horizontal="left" vertical="center"/>
      <protection hidden="1"/>
    </xf>
    <xf numFmtId="10" fontId="28" fillId="0" borderId="78" xfId="1" applyNumberFormat="1" applyFont="1" applyFill="1" applyBorder="1" applyAlignment="1" applyProtection="1">
      <alignment horizontal="right" vertical="center"/>
      <protection hidden="1"/>
    </xf>
    <xf numFmtId="0" fontId="24" fillId="0" borderId="91" xfId="0" applyFont="1" applyBorder="1" applyAlignment="1" applyProtection="1">
      <alignment horizontal="left" vertical="center"/>
      <protection hidden="1"/>
    </xf>
    <xf numFmtId="0" fontId="24" fillId="0" borderId="22" xfId="0" applyFont="1" applyBorder="1" applyAlignment="1">
      <alignment horizontal="center"/>
    </xf>
    <xf numFmtId="7" fontId="0" fillId="0" borderId="0" xfId="0" applyNumberFormat="1"/>
    <xf numFmtId="4" fontId="38" fillId="35" borderId="22" xfId="0" applyNumberFormat="1" applyFont="1" applyFill="1" applyBorder="1" applyAlignment="1">
      <alignment wrapText="1"/>
    </xf>
    <xf numFmtId="4" fontId="37" fillId="35" borderId="22" xfId="0" applyNumberFormat="1" applyFont="1" applyFill="1" applyBorder="1" applyAlignment="1">
      <alignment horizontal="center"/>
    </xf>
    <xf numFmtId="4" fontId="38" fillId="35" borderId="22" xfId="0" applyNumberFormat="1" applyFont="1" applyFill="1" applyBorder="1"/>
    <xf numFmtId="4" fontId="38" fillId="35" borderId="43" xfId="0" applyNumberFormat="1" applyFont="1" applyFill="1" applyBorder="1"/>
    <xf numFmtId="0" fontId="37" fillId="35" borderId="10" xfId="0" applyFont="1" applyFill="1" applyBorder="1" applyAlignment="1">
      <alignment horizontal="center"/>
    </xf>
    <xf numFmtId="166" fontId="38" fillId="35" borderId="22" xfId="0" applyNumberFormat="1" applyFont="1" applyFill="1" applyBorder="1"/>
    <xf numFmtId="166" fontId="38" fillId="35" borderId="43" xfId="0" applyNumberFormat="1" applyFont="1" applyFill="1" applyBorder="1"/>
    <xf numFmtId="166" fontId="37" fillId="35" borderId="10" xfId="0" applyNumberFormat="1" applyFont="1" applyFill="1" applyBorder="1"/>
    <xf numFmtId="0" fontId="37" fillId="0" borderId="10" xfId="0" applyFont="1" applyBorder="1" applyAlignment="1">
      <alignment horizontal="center" wrapText="1"/>
    </xf>
    <xf numFmtId="0" fontId="26" fillId="0" borderId="11" xfId="0" applyFont="1" applyBorder="1"/>
    <xf numFmtId="7" fontId="26" fillId="0" borderId="0" xfId="0" applyNumberFormat="1" applyFont="1"/>
    <xf numFmtId="43" fontId="29" fillId="0" borderId="0" xfId="47" applyFont="1" applyBorder="1" applyAlignment="1">
      <alignment horizontal="center"/>
    </xf>
    <xf numFmtId="7" fontId="26" fillId="0" borderId="96" xfId="0" applyNumberFormat="1" applyFont="1" applyBorder="1"/>
    <xf numFmtId="0" fontId="44" fillId="38" borderId="75" xfId="0" applyFont="1" applyFill="1" applyBorder="1" applyAlignment="1">
      <alignment horizontal="center" vertical="center" wrapText="1"/>
    </xf>
    <xf numFmtId="0" fontId="44" fillId="38" borderId="76" xfId="0" applyFont="1" applyFill="1" applyBorder="1" applyAlignment="1">
      <alignment horizontal="center" vertical="center" wrapText="1"/>
    </xf>
    <xf numFmtId="0" fontId="44" fillId="38" borderId="77" xfId="0" applyFont="1" applyFill="1" applyBorder="1" applyAlignment="1">
      <alignment horizontal="center" vertical="center" wrapText="1"/>
    </xf>
    <xf numFmtId="0" fontId="56" fillId="48" borderId="69" xfId="0" applyFont="1" applyFill="1" applyBorder="1" applyAlignment="1">
      <alignment vertical="center"/>
    </xf>
    <xf numFmtId="43" fontId="44" fillId="48" borderId="70" xfId="47" applyFont="1" applyFill="1" applyBorder="1" applyAlignment="1">
      <alignment horizontal="center" vertical="center"/>
    </xf>
    <xf numFmtId="43" fontId="44" fillId="48" borderId="71" xfId="47" applyFont="1" applyFill="1" applyBorder="1" applyAlignment="1">
      <alignment horizontal="center" vertical="center"/>
    </xf>
    <xf numFmtId="0" fontId="56" fillId="0" borderId="72" xfId="0" applyFont="1" applyBorder="1" applyAlignment="1">
      <alignment horizontal="left" vertical="top" indent="4"/>
    </xf>
    <xf numFmtId="7" fontId="56" fillId="0" borderId="73" xfId="47" applyNumberFormat="1" applyFont="1" applyBorder="1" applyAlignment="1" applyProtection="1">
      <alignment horizontal="center"/>
    </xf>
    <xf numFmtId="7" fontId="56" fillId="0" borderId="73" xfId="47" applyNumberFormat="1" applyFont="1" applyBorder="1" applyAlignment="1">
      <alignment horizontal="center"/>
    </xf>
    <xf numFmtId="7" fontId="56" fillId="0" borderId="74" xfId="47" applyNumberFormat="1" applyFont="1" applyBorder="1" applyAlignment="1">
      <alignment horizontal="center"/>
    </xf>
    <xf numFmtId="0" fontId="37" fillId="42" borderId="10" xfId="0" applyFont="1" applyFill="1" applyBorder="1" applyAlignment="1">
      <alignment horizontal="center" vertical="center" wrapText="1"/>
    </xf>
    <xf numFmtId="166" fontId="24" fillId="49" borderId="28" xfId="0" applyNumberFormat="1" applyFont="1" applyFill="1" applyBorder="1" applyAlignment="1">
      <alignment vertical="center" wrapText="1"/>
    </xf>
    <xf numFmtId="4" fontId="24" fillId="49" borderId="30" xfId="0" applyNumberFormat="1" applyFont="1" applyFill="1" applyBorder="1" applyAlignment="1">
      <alignment vertical="center" wrapText="1"/>
    </xf>
    <xf numFmtId="4" fontId="28" fillId="49" borderId="38" xfId="0" applyNumberFormat="1" applyFont="1" applyFill="1" applyBorder="1" applyAlignment="1">
      <alignment horizontal="right" vertical="center"/>
    </xf>
    <xf numFmtId="4" fontId="24" fillId="49" borderId="48" xfId="0" applyNumberFormat="1" applyFont="1" applyFill="1" applyBorder="1"/>
    <xf numFmtId="4" fontId="24" fillId="49" borderId="38" xfId="0" applyNumberFormat="1" applyFont="1" applyFill="1" applyBorder="1" applyAlignment="1">
      <alignment vertical="center" wrapText="1"/>
    </xf>
    <xf numFmtId="4" fontId="26" fillId="45" borderId="18" xfId="0" applyNumberFormat="1" applyFont="1" applyFill="1" applyBorder="1" applyAlignment="1">
      <alignment horizontal="center"/>
    </xf>
    <xf numFmtId="4" fontId="0" fillId="35" borderId="16" xfId="0" applyNumberFormat="1" applyFill="1" applyBorder="1"/>
    <xf numFmtId="1" fontId="37" fillId="35" borderId="43" xfId="0" applyNumberFormat="1" applyFont="1" applyFill="1" applyBorder="1" applyAlignment="1">
      <alignment horizontal="center"/>
    </xf>
    <xf numFmtId="166" fontId="38" fillId="35" borderId="16" xfId="0" applyNumberFormat="1" applyFont="1" applyFill="1" applyBorder="1"/>
    <xf numFmtId="1" fontId="44" fillId="39" borderId="18" xfId="0" quotePrefix="1" applyNumberFormat="1" applyFont="1" applyFill="1" applyBorder="1" applyAlignment="1">
      <alignment horizontal="center" vertical="center" wrapText="1"/>
    </xf>
    <xf numFmtId="166" fontId="38" fillId="35" borderId="0" xfId="0" applyNumberFormat="1" applyFont="1" applyFill="1"/>
    <xf numFmtId="3" fontId="38" fillId="45" borderId="18" xfId="0" applyNumberFormat="1" applyFont="1" applyFill="1" applyBorder="1" applyAlignment="1">
      <alignment horizontal="center"/>
    </xf>
    <xf numFmtId="3" fontId="38" fillId="45" borderId="12" xfId="0" applyNumberFormat="1" applyFont="1" applyFill="1" applyBorder="1" applyAlignment="1">
      <alignment horizontal="center"/>
    </xf>
    <xf numFmtId="1" fontId="26" fillId="45" borderId="12" xfId="0" applyNumberFormat="1" applyFont="1" applyFill="1" applyBorder="1" applyAlignment="1">
      <alignment horizontal="center"/>
    </xf>
    <xf numFmtId="4" fontId="38" fillId="45" borderId="18" xfId="0" applyNumberFormat="1" applyFont="1" applyFill="1" applyBorder="1" applyAlignment="1">
      <alignment horizontal="right"/>
    </xf>
    <xf numFmtId="4" fontId="38" fillId="45" borderId="12" xfId="0" applyNumberFormat="1" applyFont="1" applyFill="1" applyBorder="1" applyAlignment="1">
      <alignment horizontal="right"/>
    </xf>
    <xf numFmtId="1" fontId="26" fillId="45" borderId="24" xfId="0" applyNumberFormat="1" applyFont="1" applyFill="1" applyBorder="1" applyAlignment="1">
      <alignment horizontal="center"/>
    </xf>
    <xf numFmtId="4" fontId="37" fillId="45" borderId="24" xfId="0" applyNumberFormat="1" applyFont="1" applyFill="1" applyBorder="1" applyAlignment="1">
      <alignment horizontal="right"/>
    </xf>
    <xf numFmtId="4" fontId="37" fillId="45" borderId="25" xfId="0" applyNumberFormat="1" applyFont="1" applyFill="1" applyBorder="1" applyAlignment="1">
      <alignment horizontal="right"/>
    </xf>
    <xf numFmtId="4" fontId="38" fillId="35" borderId="18" xfId="0" applyNumberFormat="1" applyFont="1" applyFill="1" applyBorder="1" applyAlignment="1">
      <alignment wrapText="1"/>
    </xf>
    <xf numFmtId="0" fontId="38" fillId="35" borderId="18" xfId="0" applyFont="1" applyFill="1" applyBorder="1" applyAlignment="1">
      <alignment horizontal="center" wrapText="1"/>
    </xf>
    <xf numFmtId="4" fontId="38" fillId="35" borderId="18" xfId="0" applyNumberFormat="1" applyFont="1" applyFill="1" applyBorder="1"/>
    <xf numFmtId="4" fontId="38" fillId="45" borderId="18" xfId="0" applyNumberFormat="1" applyFont="1" applyFill="1" applyBorder="1"/>
    <xf numFmtId="0" fontId="38" fillId="35" borderId="22" xfId="0" applyFont="1" applyFill="1" applyBorder="1" applyAlignment="1">
      <alignment horizontal="center" wrapText="1"/>
    </xf>
    <xf numFmtId="3" fontId="38" fillId="45" borderId="22" xfId="0" applyNumberFormat="1" applyFont="1" applyFill="1" applyBorder="1" applyAlignment="1">
      <alignment horizontal="center"/>
    </xf>
    <xf numFmtId="4" fontId="38" fillId="45" borderId="22" xfId="0" applyNumberFormat="1" applyFont="1" applyFill="1" applyBorder="1"/>
    <xf numFmtId="1" fontId="38" fillId="35" borderId="22" xfId="0" applyNumberFormat="1" applyFont="1" applyFill="1" applyBorder="1" applyAlignment="1">
      <alignment horizontal="center"/>
    </xf>
    <xf numFmtId="4" fontId="38" fillId="35" borderId="12" xfId="0" applyNumberFormat="1" applyFont="1" applyFill="1" applyBorder="1" applyAlignment="1">
      <alignment wrapText="1"/>
    </xf>
    <xf numFmtId="1" fontId="38" fillId="35" borderId="12" xfId="0" applyNumberFormat="1" applyFont="1" applyFill="1" applyBorder="1" applyAlignment="1">
      <alignment horizontal="center"/>
    </xf>
    <xf numFmtId="4" fontId="38" fillId="35" borderId="12" xfId="0" applyNumberFormat="1" applyFont="1" applyFill="1" applyBorder="1"/>
    <xf numFmtId="4" fontId="38" fillId="45" borderId="12" xfId="0" applyNumberFormat="1" applyFont="1" applyFill="1" applyBorder="1"/>
    <xf numFmtId="0" fontId="37" fillId="45" borderId="43" xfId="0" applyFont="1" applyFill="1" applyBorder="1" applyAlignment="1">
      <alignment wrapText="1"/>
    </xf>
    <xf numFmtId="0" fontId="58" fillId="45" borderId="54" xfId="0" applyFont="1" applyFill="1" applyBorder="1" applyAlignment="1">
      <alignment horizontal="center"/>
    </xf>
    <xf numFmtId="4" fontId="37" fillId="45" borderId="54" xfId="0" applyNumberFormat="1" applyFont="1" applyFill="1" applyBorder="1"/>
    <xf numFmtId="4" fontId="37" fillId="45" borderId="60" xfId="0" applyNumberFormat="1" applyFont="1" applyFill="1" applyBorder="1"/>
    <xf numFmtId="8" fontId="59" fillId="0" borderId="0" xfId="0" applyNumberFormat="1" applyFont="1" applyAlignment="1">
      <alignment horizontal="right" vertical="center"/>
    </xf>
    <xf numFmtId="4" fontId="59" fillId="0" borderId="0" xfId="0" applyNumberFormat="1" applyFont="1" applyAlignment="1">
      <alignment horizontal="right" vertical="center"/>
    </xf>
    <xf numFmtId="8" fontId="0" fillId="0" borderId="0" xfId="0" applyNumberFormat="1"/>
    <xf numFmtId="166" fontId="38" fillId="0" borderId="0" xfId="0" applyNumberFormat="1" applyFont="1"/>
    <xf numFmtId="4" fontId="38" fillId="0" borderId="0" xfId="0" applyNumberFormat="1" applyFont="1"/>
    <xf numFmtId="0" fontId="60" fillId="0" borderId="0" xfId="0" applyFont="1"/>
    <xf numFmtId="8" fontId="20" fillId="34" borderId="15" xfId="0" applyNumberFormat="1" applyFont="1" applyFill="1" applyBorder="1" applyAlignment="1">
      <alignment horizontal="right" vertical="center" wrapText="1"/>
    </xf>
    <xf numFmtId="7" fontId="20" fillId="34" borderId="15" xfId="0" applyNumberFormat="1" applyFont="1" applyFill="1" applyBorder="1" applyAlignment="1">
      <alignment horizontal="right" vertical="center" wrapText="1"/>
    </xf>
    <xf numFmtId="10" fontId="20" fillId="34" borderId="15" xfId="1" applyNumberFormat="1" applyFont="1" applyFill="1" applyBorder="1" applyAlignment="1">
      <alignment horizontal="right" vertical="center" wrapText="1"/>
    </xf>
    <xf numFmtId="166" fontId="37" fillId="36" borderId="11" xfId="0" applyNumberFormat="1" applyFont="1" applyFill="1" applyBorder="1" applyAlignment="1">
      <alignment horizontal="center"/>
    </xf>
    <xf numFmtId="10" fontId="28" fillId="0" borderId="10" xfId="1" applyNumberFormat="1" applyFont="1" applyFill="1" applyBorder="1" applyAlignment="1" applyProtection="1">
      <alignment horizontal="right" vertical="center"/>
      <protection hidden="1"/>
    </xf>
    <xf numFmtId="0" fontId="24" fillId="0" borderId="84" xfId="0" applyFont="1" applyBorder="1" applyAlignment="1" applyProtection="1">
      <alignment horizontal="left" vertical="center"/>
      <protection hidden="1"/>
    </xf>
    <xf numFmtId="0" fontId="28" fillId="0" borderId="24" xfId="0" applyFont="1" applyBorder="1" applyAlignment="1" applyProtection="1">
      <alignment horizontal="left" vertical="center" wrapText="1"/>
      <protection hidden="1"/>
    </xf>
    <xf numFmtId="165" fontId="21" fillId="41" borderId="24" xfId="44" applyNumberFormat="1" applyFont="1" applyFill="1" applyBorder="1" applyAlignment="1" applyProtection="1">
      <alignment horizontal="center" vertical="center"/>
      <protection hidden="1"/>
    </xf>
    <xf numFmtId="7" fontId="56" fillId="0" borderId="0" xfId="47" applyNumberFormat="1" applyFont="1" applyFill="1" applyBorder="1" applyAlignment="1">
      <alignment horizontal="center"/>
    </xf>
    <xf numFmtId="0" fontId="44" fillId="38" borderId="103" xfId="0" applyFont="1" applyFill="1" applyBorder="1" applyAlignment="1">
      <alignment horizontal="center" vertical="center" wrapText="1"/>
    </xf>
    <xf numFmtId="0" fontId="0" fillId="0" borderId="32" xfId="0" applyBorder="1"/>
    <xf numFmtId="0" fontId="56" fillId="48" borderId="47" xfId="0" applyFont="1" applyFill="1" applyBorder="1" applyAlignment="1">
      <alignment vertical="center"/>
    </xf>
    <xf numFmtId="7" fontId="56" fillId="0" borderId="24" xfId="47" applyNumberFormat="1" applyFont="1" applyBorder="1" applyAlignment="1">
      <alignment horizontal="center"/>
    </xf>
    <xf numFmtId="7" fontId="56" fillId="0" borderId="24" xfId="47" applyNumberFormat="1" applyFont="1" applyFill="1" applyBorder="1" applyAlignment="1">
      <alignment horizontal="center"/>
    </xf>
    <xf numFmtId="7" fontId="56" fillId="0" borderId="25" xfId="47" applyNumberFormat="1" applyFont="1" applyFill="1" applyBorder="1" applyAlignment="1">
      <alignment horizontal="center"/>
    </xf>
    <xf numFmtId="0" fontId="44" fillId="38" borderId="43" xfId="0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31" xfId="0" applyBorder="1"/>
    <xf numFmtId="0" fontId="0" fillId="0" borderId="13" xfId="0" applyBorder="1"/>
    <xf numFmtId="0" fontId="0" fillId="0" borderId="35" xfId="0" applyBorder="1"/>
    <xf numFmtId="0" fontId="0" fillId="0" borderId="11" xfId="0" applyBorder="1"/>
    <xf numFmtId="0" fontId="56" fillId="0" borderId="36" xfId="0" applyFont="1" applyBorder="1" applyAlignment="1">
      <alignment horizontal="left" vertical="top" indent="4"/>
    </xf>
    <xf numFmtId="7" fontId="56" fillId="0" borderId="84" xfId="47" applyNumberFormat="1" applyFont="1" applyBorder="1" applyAlignment="1" applyProtection="1">
      <alignment horizontal="center"/>
    </xf>
    <xf numFmtId="7" fontId="56" fillId="0" borderId="25" xfId="47" applyNumberFormat="1" applyFont="1" applyBorder="1" applyAlignment="1">
      <alignment horizontal="center"/>
    </xf>
    <xf numFmtId="7" fontId="56" fillId="0" borderId="84" xfId="47" applyNumberFormat="1" applyFont="1" applyFill="1" applyBorder="1" applyAlignment="1">
      <alignment horizontal="center"/>
    </xf>
    <xf numFmtId="7" fontId="56" fillId="0" borderId="84" xfId="47" applyNumberFormat="1" applyFont="1" applyBorder="1" applyAlignment="1">
      <alignment horizontal="center"/>
    </xf>
    <xf numFmtId="0" fontId="24" fillId="0" borderId="84" xfId="0" applyFont="1" applyBorder="1"/>
    <xf numFmtId="4" fontId="24" fillId="0" borderId="24" xfId="0" applyNumberFormat="1" applyFont="1" applyBorder="1"/>
    <xf numFmtId="4" fontId="24" fillId="0" borderId="25" xfId="0" applyNumberFormat="1" applyFont="1" applyBorder="1"/>
    <xf numFmtId="0" fontId="24" fillId="0" borderId="89" xfId="0" applyFont="1" applyBorder="1"/>
    <xf numFmtId="4" fontId="24" fillId="0" borderId="90" xfId="0" applyNumberFormat="1" applyFont="1" applyBorder="1" applyAlignment="1">
      <alignment horizontal="center" vertical="center"/>
    </xf>
    <xf numFmtId="4" fontId="24" fillId="0" borderId="100" xfId="0" applyNumberFormat="1" applyFont="1" applyBorder="1" applyAlignment="1">
      <alignment vertical="center" wrapText="1"/>
    </xf>
    <xf numFmtId="0" fontId="56" fillId="0" borderId="0" xfId="0" applyFont="1" applyAlignment="1">
      <alignment horizontal="left" vertical="top" indent="4"/>
    </xf>
    <xf numFmtId="7" fontId="56" fillId="0" borderId="0" xfId="47" applyNumberFormat="1" applyFont="1" applyBorder="1" applyAlignment="1" applyProtection="1">
      <alignment horizontal="center"/>
    </xf>
    <xf numFmtId="7" fontId="56" fillId="0" borderId="0" xfId="47" applyNumberFormat="1" applyFont="1" applyBorder="1" applyAlignment="1">
      <alignment horizontal="center"/>
    </xf>
    <xf numFmtId="0" fontId="57" fillId="0" borderId="0" xfId="0" applyFont="1"/>
    <xf numFmtId="0" fontId="44" fillId="38" borderId="32" xfId="0" applyFont="1" applyFill="1" applyBorder="1" applyAlignment="1">
      <alignment horizontal="center" vertical="center" wrapText="1"/>
    </xf>
    <xf numFmtId="0" fontId="44" fillId="38" borderId="31" xfId="0" applyFont="1" applyFill="1" applyBorder="1" applyAlignment="1">
      <alignment horizontal="center" vertical="center" wrapText="1"/>
    </xf>
    <xf numFmtId="0" fontId="12" fillId="51" borderId="32" xfId="0" applyFont="1" applyFill="1" applyBorder="1" applyAlignment="1">
      <alignment horizontal="center"/>
    </xf>
    <xf numFmtId="0" fontId="55" fillId="42" borderId="18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17" fontId="37" fillId="50" borderId="10" xfId="0" applyNumberFormat="1" applyFont="1" applyFill="1" applyBorder="1" applyAlignment="1">
      <alignment horizontal="center" vertical="center" wrapText="1"/>
    </xf>
    <xf numFmtId="17" fontId="61" fillId="53" borderId="24" xfId="0" applyNumberFormat="1" applyFont="1" applyFill="1" applyBorder="1" applyAlignment="1">
      <alignment horizontal="center" vertical="center"/>
    </xf>
    <xf numFmtId="17" fontId="61" fillId="53" borderId="104" xfId="0" applyNumberFormat="1" applyFont="1" applyFill="1" applyBorder="1" applyAlignment="1">
      <alignment horizontal="center" vertical="center"/>
    </xf>
    <xf numFmtId="17" fontId="61" fillId="53" borderId="105" xfId="0" applyNumberFormat="1" applyFont="1" applyFill="1" applyBorder="1" applyAlignment="1">
      <alignment horizontal="center" vertical="center"/>
    </xf>
    <xf numFmtId="0" fontId="61" fillId="38" borderId="32" xfId="0" applyFont="1" applyFill="1" applyBorder="1" applyAlignment="1">
      <alignment horizontal="center" vertical="center"/>
    </xf>
    <xf numFmtId="43" fontId="38" fillId="0" borderId="97" xfId="47" applyFont="1" applyFill="1" applyBorder="1" applyAlignment="1">
      <alignment horizontal="right"/>
    </xf>
    <xf numFmtId="14" fontId="50" fillId="0" borderId="97" xfId="0" applyNumberFormat="1" applyFont="1" applyBorder="1" applyAlignment="1">
      <alignment horizontal="center"/>
    </xf>
    <xf numFmtId="14" fontId="50" fillId="0" borderId="106" xfId="0" applyNumberFormat="1" applyFont="1" applyBorder="1" applyAlignment="1">
      <alignment horizontal="center"/>
    </xf>
    <xf numFmtId="41" fontId="38" fillId="0" borderId="97" xfId="47" applyNumberFormat="1" applyFont="1" applyFill="1" applyBorder="1" applyAlignment="1">
      <alignment horizontal="right"/>
    </xf>
    <xf numFmtId="43" fontId="38" fillId="50" borderId="97" xfId="47" applyFont="1" applyFill="1" applyBorder="1" applyAlignment="1">
      <alignment horizontal="right"/>
    </xf>
    <xf numFmtId="43" fontId="38" fillId="50" borderId="97" xfId="47" applyFont="1" applyFill="1" applyBorder="1"/>
    <xf numFmtId="43" fontId="38" fillId="0" borderId="78" xfId="47" applyFont="1" applyFill="1" applyBorder="1"/>
    <xf numFmtId="43" fontId="50" fillId="0" borderId="78" xfId="47" applyFont="1" applyFill="1" applyBorder="1"/>
    <xf numFmtId="43" fontId="50" fillId="0" borderId="107" xfId="47" applyFont="1" applyFill="1" applyBorder="1"/>
    <xf numFmtId="41" fontId="38" fillId="0" borderId="97" xfId="47" applyNumberFormat="1" applyFont="1" applyFill="1" applyBorder="1" applyAlignment="1">
      <alignment horizontal="center"/>
    </xf>
    <xf numFmtId="43" fontId="24" fillId="0" borderId="78" xfId="47" applyFont="1" applyFill="1" applyBorder="1"/>
    <xf numFmtId="43" fontId="50" fillId="0" borderId="78" xfId="47" applyFont="1" applyBorder="1" applyAlignment="1">
      <alignment horizontal="right"/>
    </xf>
    <xf numFmtId="43" fontId="50" fillId="0" borderId="107" xfId="47" applyFont="1" applyBorder="1" applyAlignment="1">
      <alignment horizontal="right"/>
    </xf>
    <xf numFmtId="0" fontId="62" fillId="0" borderId="110" xfId="0" applyFont="1" applyBorder="1"/>
    <xf numFmtId="0" fontId="38" fillId="0" borderId="78" xfId="0" applyFont="1" applyBorder="1" applyAlignment="1">
      <alignment horizontal="center"/>
    </xf>
    <xf numFmtId="14" fontId="50" fillId="0" borderId="78" xfId="0" applyNumberFormat="1" applyFont="1" applyBorder="1" applyAlignment="1">
      <alignment horizontal="center"/>
    </xf>
    <xf numFmtId="43" fontId="38" fillId="50" borderId="54" xfId="47" applyFont="1" applyFill="1" applyBorder="1" applyAlignment="1">
      <alignment horizontal="right"/>
    </xf>
    <xf numFmtId="43" fontId="38" fillId="50" borderId="91" xfId="0" applyNumberFormat="1" applyFont="1" applyFill="1" applyBorder="1"/>
    <xf numFmtId="0" fontId="53" fillId="0" borderId="98" xfId="0" applyFont="1" applyBorder="1"/>
    <xf numFmtId="0" fontId="53" fillId="0" borderId="82" xfId="0" applyFont="1" applyBorder="1"/>
    <xf numFmtId="14" fontId="50" fillId="0" borderId="92" xfId="0" applyNumberFormat="1" applyFont="1" applyBorder="1" applyAlignment="1">
      <alignment horizontal="center"/>
    </xf>
    <xf numFmtId="0" fontId="53" fillId="0" borderId="94" xfId="0" applyFont="1" applyBorder="1"/>
    <xf numFmtId="0" fontId="38" fillId="0" borderId="91" xfId="0" applyFont="1" applyBorder="1" applyAlignment="1">
      <alignment horizontal="center"/>
    </xf>
    <xf numFmtId="14" fontId="50" fillId="0" borderId="99" xfId="0" applyNumberFormat="1" applyFont="1" applyBorder="1" applyAlignment="1">
      <alignment horizontal="center"/>
    </xf>
    <xf numFmtId="14" fontId="50" fillId="0" borderId="91" xfId="0" applyNumberFormat="1" applyFont="1" applyBorder="1" applyAlignment="1">
      <alignment horizontal="center"/>
    </xf>
    <xf numFmtId="43" fontId="38" fillId="50" borderId="78" xfId="47" applyFont="1" applyFill="1" applyBorder="1" applyAlignment="1">
      <alignment horizontal="right"/>
    </xf>
    <xf numFmtId="2" fontId="38" fillId="50" borderId="91" xfId="0" applyNumberFormat="1" applyFont="1" applyFill="1" applyBorder="1"/>
    <xf numFmtId="2" fontId="38" fillId="50" borderId="78" xfId="0" applyNumberFormat="1" applyFont="1" applyFill="1" applyBorder="1"/>
    <xf numFmtId="0" fontId="53" fillId="0" borderId="43" xfId="0" applyFont="1" applyBorder="1"/>
    <xf numFmtId="0" fontId="38" fillId="0" borderId="0" xfId="0" applyFont="1" applyAlignment="1">
      <alignment horizontal="center"/>
    </xf>
    <xf numFmtId="14" fontId="38" fillId="0" borderId="0" xfId="0" applyNumberFormat="1" applyFont="1" applyAlignment="1">
      <alignment horizontal="center"/>
    </xf>
    <xf numFmtId="43" fontId="37" fillId="50" borderId="104" xfId="0" applyNumberFormat="1" applyFont="1" applyFill="1" applyBorder="1" applyAlignment="1">
      <alignment horizontal="center"/>
    </xf>
    <xf numFmtId="43" fontId="37" fillId="50" borderId="11" xfId="0" applyNumberFormat="1" applyFont="1" applyFill="1" applyBorder="1"/>
    <xf numFmtId="43" fontId="37" fillId="0" borderId="88" xfId="47" applyFont="1" applyFill="1" applyBorder="1"/>
    <xf numFmtId="43" fontId="37" fillId="0" borderId="111" xfId="47" applyFont="1" applyFill="1" applyBorder="1"/>
    <xf numFmtId="43" fontId="37" fillId="0" borderId="35" xfId="47" applyFont="1" applyFill="1" applyBorder="1"/>
    <xf numFmtId="0" fontId="53" fillId="0" borderId="0" xfId="0" applyFont="1"/>
    <xf numFmtId="0" fontId="46" fillId="37" borderId="114" xfId="0" applyFont="1" applyFill="1" applyBorder="1" applyAlignment="1">
      <alignment horizontal="center" vertical="center" wrapText="1"/>
    </xf>
    <xf numFmtId="0" fontId="46" fillId="37" borderId="19" xfId="0" applyFont="1" applyFill="1" applyBorder="1" applyAlignment="1">
      <alignment horizontal="center" vertical="center" wrapText="1"/>
    </xf>
    <xf numFmtId="4" fontId="18" fillId="0" borderId="13" xfId="0" applyNumberFormat="1" applyFont="1" applyBorder="1" applyAlignment="1">
      <alignment horizontal="right" vertical="center"/>
    </xf>
    <xf numFmtId="4" fontId="18" fillId="0" borderId="16" xfId="0" applyNumberFormat="1" applyFont="1" applyBorder="1" applyAlignment="1">
      <alignment horizontal="right" vertical="center"/>
    </xf>
    <xf numFmtId="4" fontId="28" fillId="35" borderId="27" xfId="0" applyNumberFormat="1" applyFont="1" applyFill="1" applyBorder="1" applyAlignment="1">
      <alignment horizontal="right"/>
    </xf>
    <xf numFmtId="4" fontId="28" fillId="35" borderId="28" xfId="0" applyNumberFormat="1" applyFont="1" applyFill="1" applyBorder="1" applyAlignment="1">
      <alignment horizontal="right"/>
    </xf>
    <xf numFmtId="4" fontId="28" fillId="35" borderId="101" xfId="0" applyNumberFormat="1" applyFont="1" applyFill="1" applyBorder="1" applyAlignment="1">
      <alignment horizontal="right"/>
    </xf>
    <xf numFmtId="4" fontId="28" fillId="35" borderId="97" xfId="0" applyNumberFormat="1" applyFont="1" applyFill="1" applyBorder="1" applyAlignment="1">
      <alignment horizontal="right"/>
    </xf>
    <xf numFmtId="4" fontId="28" fillId="35" borderId="91" xfId="0" applyNumberFormat="1" applyFont="1" applyFill="1" applyBorder="1" applyAlignment="1">
      <alignment horizontal="right"/>
    </xf>
    <xf numFmtId="4" fontId="28" fillId="35" borderId="54" xfId="0" applyNumberFormat="1" applyFont="1" applyFill="1" applyBorder="1" applyAlignment="1">
      <alignment horizontal="right"/>
    </xf>
    <xf numFmtId="4" fontId="28" fillId="35" borderId="60" xfId="0" applyNumberFormat="1" applyFont="1" applyFill="1" applyBorder="1" applyAlignment="1">
      <alignment horizontal="right"/>
    </xf>
    <xf numFmtId="0" fontId="28" fillId="35" borderId="45" xfId="0" applyFont="1" applyFill="1" applyBorder="1" applyAlignment="1">
      <alignment horizontal="left" wrapText="1"/>
    </xf>
    <xf numFmtId="4" fontId="28" fillId="35" borderId="26" xfId="0" applyNumberFormat="1" applyFont="1" applyFill="1" applyBorder="1" applyAlignment="1">
      <alignment horizontal="right"/>
    </xf>
    <xf numFmtId="0" fontId="28" fillId="35" borderId="17" xfId="0" applyFont="1" applyFill="1" applyBorder="1" applyAlignment="1">
      <alignment horizontal="left" wrapText="1"/>
    </xf>
    <xf numFmtId="0" fontId="28" fillId="35" borderId="22" xfId="0" applyFont="1" applyFill="1" applyBorder="1" applyAlignment="1">
      <alignment horizontal="left" wrapText="1"/>
    </xf>
    <xf numFmtId="4" fontId="28" fillId="35" borderId="94" xfId="0" applyNumberFormat="1" applyFont="1" applyFill="1" applyBorder="1" applyAlignment="1">
      <alignment horizontal="right"/>
    </xf>
    <xf numFmtId="0" fontId="28" fillId="35" borderId="34" xfId="0" applyFont="1" applyFill="1" applyBorder="1" applyAlignment="1">
      <alignment horizontal="left"/>
    </xf>
    <xf numFmtId="4" fontId="28" fillId="35" borderId="102" xfId="0" applyNumberFormat="1" applyFont="1" applyFill="1" applyBorder="1" applyAlignment="1">
      <alignment horizontal="right"/>
    </xf>
    <xf numFmtId="0" fontId="28" fillId="35" borderId="115" xfId="0" applyFont="1" applyFill="1" applyBorder="1" applyAlignment="1">
      <alignment horizontal="left"/>
    </xf>
    <xf numFmtId="0" fontId="28" fillId="35" borderId="34" xfId="0" applyFont="1" applyFill="1" applyBorder="1" applyAlignment="1">
      <alignment horizontal="left" wrapText="1"/>
    </xf>
    <xf numFmtId="0" fontId="28" fillId="35" borderId="115" xfId="0" applyFont="1" applyFill="1" applyBorder="1" applyAlignment="1">
      <alignment horizontal="left" wrapText="1"/>
    </xf>
    <xf numFmtId="4" fontId="28" fillId="35" borderId="37" xfId="0" applyNumberFormat="1" applyFont="1" applyFill="1" applyBorder="1" applyAlignment="1">
      <alignment horizontal="right"/>
    </xf>
    <xf numFmtId="0" fontId="19" fillId="0" borderId="36" xfId="0" applyFont="1" applyBorder="1" applyAlignment="1">
      <alignment horizontal="center" vertical="center"/>
    </xf>
    <xf numFmtId="0" fontId="18" fillId="34" borderId="94" xfId="0" applyFont="1" applyFill="1" applyBorder="1" applyAlignment="1">
      <alignment vertical="center" wrapText="1"/>
    </xf>
    <xf numFmtId="4" fontId="18" fillId="34" borderId="91" xfId="0" applyNumberFormat="1" applyFont="1" applyFill="1" applyBorder="1" applyAlignment="1">
      <alignment horizontal="right" vertical="center" wrapText="1"/>
    </xf>
    <xf numFmtId="4" fontId="18" fillId="35" borderId="91" xfId="0" applyNumberFormat="1" applyFont="1" applyFill="1" applyBorder="1" applyAlignment="1">
      <alignment horizontal="right" vertical="center" wrapText="1"/>
    </xf>
    <xf numFmtId="0" fontId="18" fillId="34" borderId="79" xfId="0" applyFont="1" applyFill="1" applyBorder="1" applyAlignment="1">
      <alignment vertical="center" wrapText="1"/>
    </xf>
    <xf numFmtId="8" fontId="21" fillId="34" borderId="80" xfId="0" applyNumberFormat="1" applyFont="1" applyFill="1" applyBorder="1" applyAlignment="1">
      <alignment horizontal="right" vertical="center" wrapText="1"/>
    </xf>
    <xf numFmtId="7" fontId="21" fillId="35" borderId="80" xfId="0" applyNumberFormat="1" applyFont="1" applyFill="1" applyBorder="1" applyAlignment="1">
      <alignment horizontal="right" vertical="center" wrapText="1"/>
    </xf>
    <xf numFmtId="10" fontId="21" fillId="34" borderId="81" xfId="1" applyNumberFormat="1" applyFont="1" applyFill="1" applyBorder="1" applyAlignment="1">
      <alignment horizontal="right" vertical="center" wrapText="1"/>
    </xf>
    <xf numFmtId="0" fontId="18" fillId="34" borderId="82" xfId="0" applyFont="1" applyFill="1" applyBorder="1" applyAlignment="1">
      <alignment vertical="center" wrapText="1"/>
    </xf>
    <xf numFmtId="4" fontId="18" fillId="34" borderId="78" xfId="0" applyNumberFormat="1" applyFont="1" applyFill="1" applyBorder="1" applyAlignment="1">
      <alignment horizontal="right" vertical="center" wrapText="1"/>
    </xf>
    <xf numFmtId="4" fontId="18" fillId="35" borderId="78" xfId="0" applyNumberFormat="1" applyFont="1" applyFill="1" applyBorder="1" applyAlignment="1">
      <alignment horizontal="right" vertical="center" wrapText="1"/>
    </xf>
    <xf numFmtId="10" fontId="21" fillId="34" borderId="83" xfId="1" applyNumberFormat="1" applyFont="1" applyFill="1" applyBorder="1" applyAlignment="1">
      <alignment horizontal="right" vertical="center" wrapText="1"/>
    </xf>
    <xf numFmtId="10" fontId="21" fillId="34" borderId="95" xfId="1" applyNumberFormat="1" applyFont="1" applyFill="1" applyBorder="1" applyAlignment="1">
      <alignment horizontal="right" vertical="center" wrapText="1"/>
    </xf>
    <xf numFmtId="0" fontId="20" fillId="34" borderId="84" xfId="0" applyFont="1" applyFill="1" applyBorder="1" applyAlignment="1">
      <alignment horizontal="center" vertical="center" wrapText="1"/>
    </xf>
    <xf numFmtId="8" fontId="25" fillId="34" borderId="24" xfId="0" applyNumberFormat="1" applyFont="1" applyFill="1" applyBorder="1" applyAlignment="1">
      <alignment horizontal="right" vertical="center" wrapText="1"/>
    </xf>
    <xf numFmtId="7" fontId="25" fillId="34" borderId="24" xfId="0" applyNumberFormat="1" applyFont="1" applyFill="1" applyBorder="1" applyAlignment="1">
      <alignment horizontal="right" vertical="center" wrapText="1"/>
    </xf>
    <xf numFmtId="10" fontId="25" fillId="34" borderId="25" xfId="1" applyNumberFormat="1" applyFont="1" applyFill="1" applyBorder="1" applyAlignment="1">
      <alignment horizontal="right" vertical="center" wrapText="1"/>
    </xf>
    <xf numFmtId="43" fontId="38" fillId="0" borderId="78" xfId="47" applyFont="1" applyFill="1" applyBorder="1" applyAlignment="1">
      <alignment horizontal="right"/>
    </xf>
    <xf numFmtId="0" fontId="53" fillId="0" borderId="79" xfId="0" applyFont="1" applyBorder="1"/>
    <xf numFmtId="0" fontId="38" fillId="0" borderId="80" xfId="0" applyFont="1" applyBorder="1" applyAlignment="1">
      <alignment horizontal="center"/>
    </xf>
    <xf numFmtId="43" fontId="38" fillId="0" borderId="80" xfId="47" applyFont="1" applyFill="1" applyBorder="1" applyAlignment="1">
      <alignment horizontal="right"/>
    </xf>
    <xf numFmtId="14" fontId="50" fillId="0" borderId="80" xfId="0" applyNumberFormat="1" applyFont="1" applyBorder="1" applyAlignment="1">
      <alignment horizontal="center"/>
    </xf>
    <xf numFmtId="43" fontId="38" fillId="0" borderId="81" xfId="47" applyFont="1" applyBorder="1" applyAlignment="1">
      <alignment horizontal="right"/>
    </xf>
    <xf numFmtId="0" fontId="62" fillId="0" borderId="79" xfId="0" applyFont="1" applyBorder="1"/>
    <xf numFmtId="0" fontId="50" fillId="0" borderId="80" xfId="0" applyFont="1" applyBorder="1" applyAlignment="1">
      <alignment horizontal="center"/>
    </xf>
    <xf numFmtId="43" fontId="38" fillId="0" borderId="83" xfId="47" applyFont="1" applyBorder="1" applyAlignment="1">
      <alignment horizontal="right"/>
    </xf>
    <xf numFmtId="0" fontId="38" fillId="0" borderId="90" xfId="0" applyFont="1" applyBorder="1" applyAlignment="1">
      <alignment horizontal="center"/>
    </xf>
    <xf numFmtId="43" fontId="38" fillId="0" borderId="88" xfId="47" applyFont="1" applyFill="1" applyBorder="1" applyAlignment="1">
      <alignment horizontal="right"/>
    </xf>
    <xf numFmtId="14" fontId="50" fillId="0" borderId="90" xfId="0" applyNumberFormat="1" applyFont="1" applyBorder="1" applyAlignment="1">
      <alignment horizontal="center"/>
    </xf>
    <xf numFmtId="43" fontId="38" fillId="0" borderId="100" xfId="47" applyFont="1" applyBorder="1" applyAlignment="1">
      <alignment horizontal="right"/>
    </xf>
    <xf numFmtId="0" fontId="53" fillId="0" borderId="36" xfId="0" applyFont="1" applyBorder="1"/>
    <xf numFmtId="0" fontId="38" fillId="0" borderId="35" xfId="0" applyFont="1" applyBorder="1"/>
    <xf numFmtId="43" fontId="37" fillId="0" borderId="35" xfId="0" applyNumberFormat="1" applyFont="1" applyBorder="1"/>
    <xf numFmtId="43" fontId="37" fillId="0" borderId="11" xfId="0" applyNumberFormat="1" applyFont="1" applyBorder="1"/>
    <xf numFmtId="166" fontId="20" fillId="0" borderId="10" xfId="0" applyNumberFormat="1" applyFont="1" applyBorder="1" applyAlignment="1">
      <alignment vertical="center"/>
    </xf>
    <xf numFmtId="0" fontId="46" fillId="55" borderId="22" xfId="0" applyFont="1" applyFill="1" applyBorder="1" applyAlignment="1">
      <alignment horizontal="center" vertical="center" wrapText="1"/>
    </xf>
    <xf numFmtId="0" fontId="46" fillId="55" borderId="16" xfId="0" applyFont="1" applyFill="1" applyBorder="1" applyAlignment="1">
      <alignment horizontal="center" vertical="center"/>
    </xf>
    <xf numFmtId="0" fontId="18" fillId="34" borderId="78" xfId="0" applyFont="1" applyFill="1" applyBorder="1" applyAlignment="1">
      <alignment horizontal="justify" vertical="center" wrapText="1"/>
    </xf>
    <xf numFmtId="14" fontId="18" fillId="34" borderId="79" xfId="0" applyNumberFormat="1" applyFont="1" applyFill="1" applyBorder="1" applyAlignment="1">
      <alignment horizontal="justify" vertical="center" wrapText="1"/>
    </xf>
    <xf numFmtId="0" fontId="18" fillId="34" borderId="80" xfId="0" applyFont="1" applyFill="1" applyBorder="1" applyAlignment="1">
      <alignment horizontal="justify" vertical="center" wrapText="1"/>
    </xf>
    <xf numFmtId="166" fontId="18" fillId="0" borderId="81" xfId="0" applyNumberFormat="1" applyFont="1" applyBorder="1" applyAlignment="1">
      <alignment horizontal="right" vertical="center"/>
    </xf>
    <xf numFmtId="14" fontId="18" fillId="34" borderId="82" xfId="0" applyNumberFormat="1" applyFont="1" applyFill="1" applyBorder="1" applyAlignment="1">
      <alignment horizontal="justify" vertical="center" wrapText="1"/>
    </xf>
    <xf numFmtId="0" fontId="18" fillId="0" borderId="83" xfId="0" applyFont="1" applyBorder="1" applyAlignment="1">
      <alignment horizontal="right" vertical="center"/>
    </xf>
    <xf numFmtId="0" fontId="18" fillId="34" borderId="82" xfId="0" applyFont="1" applyFill="1" applyBorder="1" applyAlignment="1">
      <alignment horizontal="justify" vertical="center" wrapText="1"/>
    </xf>
    <xf numFmtId="14" fontId="18" fillId="34" borderId="89" xfId="0" applyNumberFormat="1" applyFont="1" applyFill="1" applyBorder="1" applyAlignment="1">
      <alignment horizontal="justify" vertical="center" wrapText="1"/>
    </xf>
    <xf numFmtId="0" fontId="18" fillId="34" borderId="90" xfId="0" applyFont="1" applyFill="1" applyBorder="1" applyAlignment="1">
      <alignment horizontal="justify" vertical="center" wrapText="1"/>
    </xf>
    <xf numFmtId="0" fontId="18" fillId="0" borderId="100" xfId="0" applyFont="1" applyBorder="1" applyAlignment="1">
      <alignment horizontal="right" vertical="center"/>
    </xf>
    <xf numFmtId="8" fontId="64" fillId="0" borderId="13" xfId="0" applyNumberFormat="1" applyFont="1" applyBorder="1" applyAlignment="1">
      <alignment horizontal="right" vertical="center"/>
    </xf>
    <xf numFmtId="10" fontId="26" fillId="0" borderId="13" xfId="0" applyNumberFormat="1" applyFont="1" applyBorder="1" applyAlignment="1">
      <alignment horizontal="right" vertical="center"/>
    </xf>
    <xf numFmtId="4" fontId="18" fillId="0" borderId="78" xfId="0" applyNumberFormat="1" applyFont="1" applyBorder="1" applyAlignment="1">
      <alignment horizontal="right" vertical="center"/>
    </xf>
    <xf numFmtId="4" fontId="18" fillId="0" borderId="80" xfId="0" applyNumberFormat="1" applyFont="1" applyBorder="1" applyAlignment="1">
      <alignment horizontal="right" vertical="center"/>
    </xf>
    <xf numFmtId="10" fontId="24" fillId="0" borderId="81" xfId="0" applyNumberFormat="1" applyFont="1" applyBorder="1" applyAlignment="1">
      <alignment horizontal="right" vertical="center"/>
    </xf>
    <xf numFmtId="10" fontId="24" fillId="0" borderId="83" xfId="0" applyNumberFormat="1" applyFont="1" applyBorder="1" applyAlignment="1">
      <alignment horizontal="right" vertical="center"/>
    </xf>
    <xf numFmtId="0" fontId="18" fillId="0" borderId="89" xfId="0" applyFont="1" applyBorder="1" applyAlignment="1">
      <alignment vertical="center"/>
    </xf>
    <xf numFmtId="4" fontId="24" fillId="35" borderId="90" xfId="0" applyNumberFormat="1" applyFont="1" applyFill="1" applyBorder="1"/>
    <xf numFmtId="4" fontId="18" fillId="0" borderId="90" xfId="0" applyNumberFormat="1" applyFont="1" applyBorder="1" applyAlignment="1">
      <alignment horizontal="right" vertical="center"/>
    </xf>
    <xf numFmtId="10" fontId="24" fillId="0" borderId="100" xfId="0" applyNumberFormat="1" applyFont="1" applyBorder="1" applyAlignment="1">
      <alignment horizontal="right" vertical="center"/>
    </xf>
    <xf numFmtId="7" fontId="56" fillId="0" borderId="56" xfId="47" applyNumberFormat="1" applyFont="1" applyBorder="1" applyAlignment="1">
      <alignment horizontal="center"/>
    </xf>
    <xf numFmtId="0" fontId="55" fillId="0" borderId="36" xfId="0" applyFont="1" applyBorder="1" applyAlignment="1">
      <alignment horizontal="center"/>
    </xf>
    <xf numFmtId="4" fontId="38" fillId="45" borderId="22" xfId="0" applyNumberFormat="1" applyFont="1" applyFill="1" applyBorder="1" applyAlignment="1">
      <alignment horizontal="right"/>
    </xf>
    <xf numFmtId="0" fontId="37" fillId="0" borderId="0" xfId="0" applyFont="1"/>
    <xf numFmtId="0" fontId="15" fillId="0" borderId="0" xfId="0" applyFont="1"/>
    <xf numFmtId="0" fontId="37" fillId="0" borderId="0" xfId="0" applyFont="1" applyAlignment="1">
      <alignment horizontal="center"/>
    </xf>
    <xf numFmtId="0" fontId="50" fillId="0" borderId="78" xfId="0" applyFont="1" applyBorder="1" applyAlignment="1">
      <alignment horizontal="center"/>
    </xf>
    <xf numFmtId="43" fontId="50" fillId="0" borderId="81" xfId="47" applyFont="1" applyBorder="1" applyAlignment="1">
      <alignment horizontal="right"/>
    </xf>
    <xf numFmtId="0" fontId="62" fillId="0" borderId="82" xfId="0" applyFont="1" applyBorder="1"/>
    <xf numFmtId="43" fontId="50" fillId="0" borderId="83" xfId="47" applyFont="1" applyBorder="1" applyAlignment="1">
      <alignment horizontal="right"/>
    </xf>
    <xf numFmtId="14" fontId="50" fillId="35" borderId="80" xfId="0" applyNumberFormat="1" applyFont="1" applyFill="1" applyBorder="1" applyAlignment="1">
      <alignment horizontal="center"/>
    </xf>
    <xf numFmtId="14" fontId="50" fillId="35" borderId="78" xfId="0" applyNumberFormat="1" applyFont="1" applyFill="1" applyBorder="1" applyAlignment="1">
      <alignment horizontal="center"/>
    </xf>
    <xf numFmtId="0" fontId="18" fillId="0" borderId="118" xfId="0" applyFont="1" applyBorder="1" applyAlignment="1">
      <alignment horizontal="center" vertical="center"/>
    </xf>
    <xf numFmtId="0" fontId="18" fillId="0" borderId="54" xfId="0" applyFont="1" applyBorder="1" applyAlignment="1">
      <alignment horizontal="justify" vertical="center" wrapText="1"/>
    </xf>
    <xf numFmtId="4" fontId="21" fillId="0" borderId="27" xfId="0" applyNumberFormat="1" applyFont="1" applyBorder="1" applyAlignment="1">
      <alignment horizontal="right" vertical="center"/>
    </xf>
    <xf numFmtId="4" fontId="21" fillId="0" borderId="54" xfId="0" applyNumberFormat="1" applyFont="1" applyBorder="1" applyAlignment="1">
      <alignment horizontal="right" vertical="center"/>
    </xf>
    <xf numFmtId="0" fontId="53" fillId="56" borderId="82" xfId="0" applyFont="1" applyFill="1" applyBorder="1"/>
    <xf numFmtId="0" fontId="53" fillId="56" borderId="43" xfId="0" applyFont="1" applyFill="1" applyBorder="1"/>
    <xf numFmtId="0" fontId="38" fillId="56" borderId="91" xfId="0" applyFont="1" applyFill="1" applyBorder="1" applyAlignment="1">
      <alignment horizontal="center"/>
    </xf>
    <xf numFmtId="43" fontId="38" fillId="56" borderId="91" xfId="47" applyFont="1" applyFill="1" applyBorder="1" applyAlignment="1">
      <alignment horizontal="right"/>
    </xf>
    <xf numFmtId="14" fontId="50" fillId="56" borderId="91" xfId="0" applyNumberFormat="1" applyFont="1" applyFill="1" applyBorder="1" applyAlignment="1">
      <alignment horizontal="center"/>
    </xf>
    <xf numFmtId="0" fontId="53" fillId="56" borderId="78" xfId="0" applyFont="1" applyFill="1" applyBorder="1"/>
    <xf numFmtId="0" fontId="38" fillId="56" borderId="78" xfId="0" applyFont="1" applyFill="1" applyBorder="1" applyAlignment="1">
      <alignment horizontal="center"/>
    </xf>
    <xf numFmtId="43" fontId="38" fillId="56" borderId="78" xfId="47" applyFont="1" applyFill="1" applyBorder="1" applyAlignment="1">
      <alignment horizontal="right"/>
    </xf>
    <xf numFmtId="14" fontId="50" fillId="56" borderId="78" xfId="0" applyNumberFormat="1" applyFont="1" applyFill="1" applyBorder="1" applyAlignment="1">
      <alignment horizontal="center"/>
    </xf>
    <xf numFmtId="14" fontId="50" fillId="35" borderId="91" xfId="0" applyNumberFormat="1" applyFont="1" applyFill="1" applyBorder="1" applyAlignment="1">
      <alignment horizontal="center"/>
    </xf>
    <xf numFmtId="43" fontId="38" fillId="0" borderId="91" xfId="47" applyFont="1" applyFill="1" applyBorder="1" applyAlignment="1">
      <alignment horizontal="right"/>
    </xf>
    <xf numFmtId="43" fontId="50" fillId="0" borderId="95" xfId="47" applyFont="1" applyBorder="1" applyAlignment="1">
      <alignment horizontal="right"/>
    </xf>
    <xf numFmtId="0" fontId="37" fillId="0" borderId="35" xfId="0" applyFont="1" applyBorder="1"/>
    <xf numFmtId="0" fontId="15" fillId="0" borderId="35" xfId="0" applyFont="1" applyBorder="1"/>
    <xf numFmtId="0" fontId="37" fillId="0" borderId="11" xfId="0" applyFont="1" applyBorder="1"/>
    <xf numFmtId="43" fontId="37" fillId="0" borderId="10" xfId="0" applyNumberFormat="1" applyFont="1" applyBorder="1"/>
    <xf numFmtId="17" fontId="61" fillId="53" borderId="23" xfId="0" applyNumberFormat="1" applyFont="1" applyFill="1" applyBorder="1" applyAlignment="1">
      <alignment horizontal="center" vertical="center"/>
    </xf>
    <xf numFmtId="43" fontId="28" fillId="0" borderId="78" xfId="47" applyFont="1" applyFill="1" applyBorder="1"/>
    <xf numFmtId="43" fontId="0" fillId="0" borderId="78" xfId="47" applyFont="1" applyFill="1" applyBorder="1"/>
    <xf numFmtId="43" fontId="0" fillId="0" borderId="0" xfId="47" applyFont="1" applyBorder="1"/>
    <xf numFmtId="43" fontId="50" fillId="42" borderId="107" xfId="47" applyFont="1" applyFill="1" applyBorder="1"/>
    <xf numFmtId="43" fontId="38" fillId="0" borderId="78" xfId="47" applyFont="1" applyBorder="1" applyAlignment="1">
      <alignment horizontal="right"/>
    </xf>
    <xf numFmtId="0" fontId="53" fillId="0" borderId="108" xfId="0" applyFont="1" applyBorder="1" applyAlignment="1">
      <alignment horizontal="center"/>
    </xf>
    <xf numFmtId="0" fontId="66" fillId="0" borderId="78" xfId="0" applyFont="1" applyBorder="1"/>
    <xf numFmtId="0" fontId="62" fillId="56" borderId="79" xfId="0" applyFont="1" applyFill="1" applyBorder="1"/>
    <xf numFmtId="0" fontId="50" fillId="56" borderId="80" xfId="0" applyFont="1" applyFill="1" applyBorder="1" applyAlignment="1">
      <alignment horizontal="center"/>
    </xf>
    <xf numFmtId="43" fontId="38" fillId="56" borderId="97" xfId="47" applyFont="1" applyFill="1" applyBorder="1" applyAlignment="1">
      <alignment horizontal="right"/>
    </xf>
    <xf numFmtId="14" fontId="50" fillId="56" borderId="97" xfId="0" applyNumberFormat="1" applyFont="1" applyFill="1" applyBorder="1" applyAlignment="1">
      <alignment horizontal="center"/>
    </xf>
    <xf numFmtId="14" fontId="50" fillId="56" borderId="92" xfId="0" applyNumberFormat="1" applyFont="1" applyFill="1" applyBorder="1" applyAlignment="1">
      <alignment horizontal="center"/>
    </xf>
    <xf numFmtId="41" fontId="38" fillId="56" borderId="97" xfId="47" applyNumberFormat="1" applyFont="1" applyFill="1" applyBorder="1" applyAlignment="1">
      <alignment horizontal="center"/>
    </xf>
    <xf numFmtId="43" fontId="63" fillId="56" borderId="97" xfId="47" applyFont="1" applyFill="1" applyBorder="1"/>
    <xf numFmtId="0" fontId="0" fillId="56" borderId="0" xfId="0" applyFill="1"/>
    <xf numFmtId="43" fontId="28" fillId="56" borderId="78" xfId="47" applyFont="1" applyFill="1" applyBorder="1"/>
    <xf numFmtId="43" fontId="0" fillId="56" borderId="78" xfId="47" applyFont="1" applyFill="1" applyBorder="1"/>
    <xf numFmtId="43" fontId="0" fillId="56" borderId="0" xfId="47" applyFont="1" applyFill="1" applyBorder="1"/>
    <xf numFmtId="43" fontId="24" fillId="56" borderId="78" xfId="47" applyFont="1" applyFill="1" applyBorder="1"/>
    <xf numFmtId="43" fontId="50" fillId="56" borderId="78" xfId="47" applyFont="1" applyFill="1" applyBorder="1" applyAlignment="1">
      <alignment horizontal="right"/>
    </xf>
    <xf numFmtId="43" fontId="50" fillId="56" borderId="107" xfId="47" applyFont="1" applyFill="1" applyBorder="1" applyAlignment="1">
      <alignment horizontal="right"/>
    </xf>
    <xf numFmtId="43" fontId="38" fillId="56" borderId="78" xfId="47" applyFont="1" applyFill="1" applyBorder="1"/>
    <xf numFmtId="0" fontId="53" fillId="56" borderId="108" xfId="0" applyFont="1" applyFill="1" applyBorder="1" applyAlignment="1">
      <alignment horizontal="center"/>
    </xf>
    <xf numFmtId="43" fontId="50" fillId="42" borderId="107" xfId="47" applyFont="1" applyFill="1" applyBorder="1" applyAlignment="1">
      <alignment horizontal="right"/>
    </xf>
    <xf numFmtId="0" fontId="68" fillId="0" borderId="0" xfId="0" applyFont="1"/>
    <xf numFmtId="43" fontId="68" fillId="0" borderId="78" xfId="47" applyFont="1" applyFill="1" applyBorder="1"/>
    <xf numFmtId="43" fontId="68" fillId="0" borderId="78" xfId="0" applyNumberFormat="1" applyFont="1" applyBorder="1"/>
    <xf numFmtId="168" fontId="38" fillId="0" borderId="78" xfId="47" applyNumberFormat="1" applyFont="1" applyFill="1" applyBorder="1"/>
    <xf numFmtId="0" fontId="67" fillId="0" borderId="0" xfId="0" applyFont="1" applyAlignment="1">
      <alignment horizontal="left" wrapText="1"/>
    </xf>
    <xf numFmtId="43" fontId="38" fillId="56" borderId="78" xfId="0" applyNumberFormat="1" applyFont="1" applyFill="1" applyBorder="1"/>
    <xf numFmtId="0" fontId="68" fillId="56" borderId="78" xfId="0" applyFont="1" applyFill="1" applyBorder="1" applyAlignment="1">
      <alignment horizontal="left"/>
    </xf>
    <xf numFmtId="43" fontId="0" fillId="56" borderId="0" xfId="0" applyNumberFormat="1" applyFill="1"/>
    <xf numFmtId="43" fontId="50" fillId="56" borderId="78" xfId="47" applyFont="1" applyFill="1" applyBorder="1"/>
    <xf numFmtId="43" fontId="50" fillId="56" borderId="107" xfId="47" applyFont="1" applyFill="1" applyBorder="1"/>
    <xf numFmtId="0" fontId="67" fillId="56" borderId="78" xfId="0" applyFont="1" applyFill="1" applyBorder="1" applyAlignment="1">
      <alignment horizontal="left" wrapText="1"/>
    </xf>
    <xf numFmtId="43" fontId="38" fillId="56" borderId="54" xfId="47" applyFont="1" applyFill="1" applyBorder="1" applyAlignment="1">
      <alignment horizontal="right"/>
    </xf>
    <xf numFmtId="43" fontId="38" fillId="56" borderId="91" xfId="0" applyNumberFormat="1" applyFont="1" applyFill="1" applyBorder="1"/>
    <xf numFmtId="0" fontId="67" fillId="56" borderId="91" xfId="0" applyFont="1" applyFill="1" applyBorder="1" applyAlignment="1">
      <alignment horizontal="left" wrapText="1"/>
    </xf>
    <xf numFmtId="43" fontId="0" fillId="56" borderId="91" xfId="47" applyFont="1" applyFill="1" applyBorder="1"/>
    <xf numFmtId="43" fontId="50" fillId="56" borderId="91" xfId="47" applyFont="1" applyFill="1" applyBorder="1"/>
    <xf numFmtId="43" fontId="50" fillId="56" borderId="0" xfId="47" applyFont="1" applyFill="1" applyBorder="1"/>
    <xf numFmtId="14" fontId="63" fillId="56" borderId="91" xfId="0" applyNumberFormat="1" applyFont="1" applyFill="1" applyBorder="1" applyAlignment="1">
      <alignment horizontal="center"/>
    </xf>
    <xf numFmtId="41" fontId="38" fillId="56" borderId="91" xfId="47" applyNumberFormat="1" applyFont="1" applyFill="1" applyBorder="1" applyAlignment="1">
      <alignment horizontal="center"/>
    </xf>
    <xf numFmtId="43" fontId="38" fillId="56" borderId="0" xfId="0" applyNumberFormat="1" applyFont="1" applyFill="1"/>
    <xf numFmtId="0" fontId="67" fillId="56" borderId="54" xfId="0" applyFont="1" applyFill="1" applyBorder="1" applyAlignment="1">
      <alignment horizontal="left" wrapText="1"/>
    </xf>
    <xf numFmtId="43" fontId="0" fillId="56" borderId="54" xfId="47" applyFont="1" applyFill="1" applyBorder="1"/>
    <xf numFmtId="0" fontId="69" fillId="56" borderId="78" xfId="0" applyFont="1" applyFill="1" applyBorder="1" applyAlignment="1">
      <alignment horizontal="center"/>
    </xf>
    <xf numFmtId="14" fontId="63" fillId="56" borderId="78" xfId="0" applyNumberFormat="1" applyFont="1" applyFill="1" applyBorder="1" applyAlignment="1">
      <alignment horizontal="center"/>
    </xf>
    <xf numFmtId="41" fontId="38" fillId="56" borderId="78" xfId="47" applyNumberFormat="1" applyFont="1" applyFill="1" applyBorder="1" applyAlignment="1">
      <alignment horizontal="center"/>
    </xf>
    <xf numFmtId="0" fontId="67" fillId="0" borderId="24" xfId="0" applyFont="1" applyBorder="1" applyAlignment="1">
      <alignment horizontal="center" wrapText="1"/>
    </xf>
    <xf numFmtId="43" fontId="15" fillId="0" borderId="24" xfId="47" applyFont="1" applyBorder="1"/>
    <xf numFmtId="43" fontId="15" fillId="0" borderId="24" xfId="47" applyFont="1" applyFill="1" applyBorder="1"/>
    <xf numFmtId="0" fontId="15" fillId="0" borderId="24" xfId="0" applyFont="1" applyBorder="1"/>
    <xf numFmtId="43" fontId="15" fillId="0" borderId="24" xfId="0" applyNumberFormat="1" applyFont="1" applyBorder="1"/>
    <xf numFmtId="43" fontId="37" fillId="54" borderId="12" xfId="0" applyNumberFormat="1" applyFont="1" applyFill="1" applyBorder="1"/>
    <xf numFmtId="43" fontId="37" fillId="0" borderId="31" xfId="47" applyFont="1" applyFill="1" applyBorder="1"/>
    <xf numFmtId="0" fontId="26" fillId="0" borderId="13" xfId="0" applyFont="1" applyBorder="1" applyAlignment="1">
      <alignment horizontal="center"/>
    </xf>
    <xf numFmtId="0" fontId="70" fillId="0" borderId="78" xfId="0" applyFont="1" applyBorder="1" applyAlignment="1">
      <alignment vertical="top" wrapText="1"/>
    </xf>
    <xf numFmtId="43" fontId="43" fillId="0" borderId="78" xfId="47" applyFont="1" applyBorder="1"/>
    <xf numFmtId="0" fontId="43" fillId="0" borderId="0" xfId="0" applyFont="1"/>
    <xf numFmtId="0" fontId="43" fillId="0" borderId="22" xfId="0" applyFont="1" applyBorder="1"/>
    <xf numFmtId="43" fontId="23" fillId="51" borderId="24" xfId="47" applyFont="1" applyFill="1" applyBorder="1"/>
    <xf numFmtId="43" fontId="61" fillId="51" borderId="0" xfId="47" applyFont="1" applyFill="1" applyBorder="1"/>
    <xf numFmtId="43" fontId="52" fillId="51" borderId="0" xfId="47" applyFont="1" applyFill="1" applyBorder="1"/>
    <xf numFmtId="43" fontId="61" fillId="51" borderId="0" xfId="47" quotePrefix="1" applyFont="1" applyFill="1" applyBorder="1"/>
    <xf numFmtId="0" fontId="24" fillId="0" borderId="78" xfId="0" applyFont="1" applyBorder="1" applyAlignment="1">
      <alignment horizontal="center"/>
    </xf>
    <xf numFmtId="0" fontId="24" fillId="0" borderId="78" xfId="0" applyFont="1" applyBorder="1" applyAlignment="1">
      <alignment horizontal="center" wrapText="1"/>
    </xf>
    <xf numFmtId="0" fontId="28" fillId="0" borderId="78" xfId="0" applyFont="1" applyBorder="1" applyAlignment="1">
      <alignment horizontal="center"/>
    </xf>
    <xf numFmtId="0" fontId="12" fillId="51" borderId="35" xfId="0" applyFont="1" applyFill="1" applyBorder="1"/>
    <xf numFmtId="1" fontId="24" fillId="57" borderId="22" xfId="0" applyNumberFormat="1" applyFont="1" applyFill="1" applyBorder="1" applyAlignment="1">
      <alignment horizontal="center"/>
    </xf>
    <xf numFmtId="4" fontId="24" fillId="57" borderId="22" xfId="0" applyNumberFormat="1" applyFont="1" applyFill="1" applyBorder="1"/>
    <xf numFmtId="4" fontId="24" fillId="58" borderId="22" xfId="0" applyNumberFormat="1" applyFont="1" applyFill="1" applyBorder="1"/>
    <xf numFmtId="0" fontId="37" fillId="0" borderId="35" xfId="0" applyFont="1" applyBorder="1" applyAlignment="1">
      <alignment horizontal="center"/>
    </xf>
    <xf numFmtId="0" fontId="62" fillId="35" borderId="110" xfId="0" applyFont="1" applyFill="1" applyBorder="1"/>
    <xf numFmtId="0" fontId="53" fillId="35" borderId="94" xfId="0" applyFont="1" applyFill="1" applyBorder="1"/>
    <xf numFmtId="0" fontId="53" fillId="35" borderId="82" xfId="0" applyFont="1" applyFill="1" applyBorder="1"/>
    <xf numFmtId="0" fontId="53" fillId="35" borderId="89" xfId="0" applyFont="1" applyFill="1" applyBorder="1"/>
    <xf numFmtId="14" fontId="50" fillId="35" borderId="92" xfId="0" applyNumberFormat="1" applyFont="1" applyFill="1" applyBorder="1" applyAlignment="1">
      <alignment horizontal="center"/>
    </xf>
    <xf numFmtId="14" fontId="50" fillId="35" borderId="93" xfId="0" applyNumberFormat="1" applyFont="1" applyFill="1" applyBorder="1" applyAlignment="1">
      <alignment horizontal="center"/>
    </xf>
    <xf numFmtId="14" fontId="50" fillId="35" borderId="99" xfId="0" applyNumberFormat="1" applyFont="1" applyFill="1" applyBorder="1" applyAlignment="1">
      <alignment horizontal="center"/>
    </xf>
    <xf numFmtId="14" fontId="50" fillId="35" borderId="120" xfId="0" applyNumberFormat="1" applyFont="1" applyFill="1" applyBorder="1" applyAlignment="1">
      <alignment horizontal="center"/>
    </xf>
    <xf numFmtId="4" fontId="18" fillId="0" borderId="0" xfId="0" applyNumberFormat="1" applyFont="1"/>
    <xf numFmtId="43" fontId="37" fillId="0" borderId="0" xfId="0" applyNumberFormat="1" applyFont="1"/>
    <xf numFmtId="43" fontId="37" fillId="54" borderId="22" xfId="0" applyNumberFormat="1" applyFont="1" applyFill="1" applyBorder="1"/>
    <xf numFmtId="43" fontId="37" fillId="0" borderId="96" xfId="0" applyNumberFormat="1" applyFont="1" applyBorder="1"/>
    <xf numFmtId="168" fontId="37" fillId="0" borderId="96" xfId="0" applyNumberFormat="1" applyFont="1" applyBorder="1"/>
    <xf numFmtId="0" fontId="26" fillId="0" borderId="0" xfId="0" applyFont="1" applyAlignment="1">
      <alignment horizontal="center"/>
    </xf>
    <xf numFmtId="0" fontId="37" fillId="42" borderId="47" xfId="0" applyFont="1" applyFill="1" applyBorder="1" applyAlignment="1">
      <alignment horizontal="center" vertical="center" wrapText="1"/>
    </xf>
    <xf numFmtId="0" fontId="0" fillId="0" borderId="78" xfId="0" applyBorder="1"/>
    <xf numFmtId="8" fontId="0" fillId="0" borderId="78" xfId="0" applyNumberFormat="1" applyBorder="1"/>
    <xf numFmtId="0" fontId="0" fillId="0" borderId="78" xfId="0" applyBorder="1" applyAlignment="1">
      <alignment wrapText="1"/>
    </xf>
    <xf numFmtId="43" fontId="0" fillId="0" borderId="0" xfId="47" applyFont="1"/>
    <xf numFmtId="9" fontId="0" fillId="0" borderId="78" xfId="1" applyFont="1" applyBorder="1"/>
    <xf numFmtId="43" fontId="0" fillId="0" borderId="78" xfId="47" applyFont="1" applyBorder="1"/>
    <xf numFmtId="43" fontId="63" fillId="0" borderId="83" xfId="47" applyFont="1" applyBorder="1" applyAlignment="1">
      <alignment horizontal="right"/>
    </xf>
    <xf numFmtId="43" fontId="63" fillId="0" borderId="83" xfId="47" applyFont="1" applyFill="1" applyBorder="1" applyAlignment="1">
      <alignment horizontal="right"/>
    </xf>
    <xf numFmtId="43" fontId="63" fillId="0" borderId="81" xfId="47" applyFont="1" applyFill="1" applyBorder="1" applyAlignment="1">
      <alignment horizontal="right"/>
    </xf>
    <xf numFmtId="43" fontId="37" fillId="54" borderId="10" xfId="0" applyNumberFormat="1" applyFont="1" applyFill="1" applyBorder="1"/>
    <xf numFmtId="43" fontId="63" fillId="0" borderId="95" xfId="47" applyFont="1" applyBorder="1" applyAlignment="1">
      <alignment horizontal="right"/>
    </xf>
    <xf numFmtId="4" fontId="71" fillId="35" borderId="22" xfId="0" applyNumberFormat="1" applyFont="1" applyFill="1" applyBorder="1"/>
    <xf numFmtId="4" fontId="72" fillId="35" borderId="10" xfId="0" applyNumberFormat="1" applyFont="1" applyFill="1" applyBorder="1"/>
    <xf numFmtId="4" fontId="28" fillId="0" borderId="22" xfId="0" applyNumberFormat="1" applyFont="1" applyBorder="1"/>
    <xf numFmtId="4" fontId="68" fillId="0" borderId="16" xfId="0" applyNumberFormat="1" applyFont="1" applyBorder="1"/>
    <xf numFmtId="4" fontId="28" fillId="35" borderId="22" xfId="0" applyNumberFormat="1" applyFont="1" applyFill="1" applyBorder="1"/>
    <xf numFmtId="0" fontId="73" fillId="0" borderId="16" xfId="0" applyFont="1" applyBorder="1" applyAlignment="1">
      <alignment horizontal="center"/>
    </xf>
    <xf numFmtId="0" fontId="68" fillId="0" borderId="109" xfId="0" applyFont="1" applyBorder="1" applyAlignment="1">
      <alignment horizontal="center"/>
    </xf>
    <xf numFmtId="0" fontId="68" fillId="0" borderId="119" xfId="0" applyFont="1" applyBorder="1" applyAlignment="1">
      <alignment horizontal="center"/>
    </xf>
    <xf numFmtId="0" fontId="29" fillId="56" borderId="10" xfId="0" applyFont="1" applyFill="1" applyBorder="1" applyAlignment="1">
      <alignment horizontal="center" vertical="center" wrapText="1"/>
    </xf>
    <xf numFmtId="0" fontId="29" fillId="56" borderId="35" xfId="0" applyFont="1" applyFill="1" applyBorder="1" applyAlignment="1">
      <alignment horizontal="center" vertical="center" wrapText="1"/>
    </xf>
    <xf numFmtId="0" fontId="74" fillId="56" borderId="10" xfId="0" applyFont="1" applyFill="1" applyBorder="1" applyAlignment="1">
      <alignment horizontal="center" vertical="center" wrapText="1"/>
    </xf>
    <xf numFmtId="0" fontId="68" fillId="0" borderId="116" xfId="0" applyFont="1" applyBorder="1" applyAlignment="1">
      <alignment horizontal="center"/>
    </xf>
    <xf numFmtId="0" fontId="68" fillId="0" borderId="117" xfId="0" applyFont="1" applyBorder="1" applyAlignment="1">
      <alignment horizontal="center"/>
    </xf>
    <xf numFmtId="0" fontId="29" fillId="56" borderId="10" xfId="0" applyFont="1" applyFill="1" applyBorder="1" applyAlignment="1">
      <alignment horizontal="left" wrapText="1"/>
    </xf>
    <xf numFmtId="0" fontId="73" fillId="56" borderId="11" xfId="0" applyFont="1" applyFill="1" applyBorder="1" applyAlignment="1">
      <alignment horizontal="center"/>
    </xf>
    <xf numFmtId="4" fontId="29" fillId="56" borderId="24" xfId="0" applyNumberFormat="1" applyFont="1" applyFill="1" applyBorder="1" applyAlignment="1">
      <alignment horizontal="right"/>
    </xf>
    <xf numFmtId="4" fontId="29" fillId="56" borderId="25" xfId="0" applyNumberFormat="1" applyFont="1" applyFill="1" applyBorder="1" applyAlignment="1">
      <alignment horizontal="right"/>
    </xf>
    <xf numFmtId="0" fontId="68" fillId="0" borderId="16" xfId="0" applyFont="1" applyBorder="1" applyAlignment="1">
      <alignment horizontal="center"/>
    </xf>
    <xf numFmtId="4" fontId="28" fillId="35" borderId="121" xfId="0" applyNumberFormat="1" applyFont="1" applyFill="1" applyBorder="1" applyAlignment="1">
      <alignment horizontal="right"/>
    </xf>
    <xf numFmtId="0" fontId="29" fillId="56" borderId="10" xfId="0" applyFont="1" applyFill="1" applyBorder="1" applyAlignment="1">
      <alignment horizontal="left"/>
    </xf>
    <xf numFmtId="4" fontId="29" fillId="56" borderId="122" xfId="0" applyNumberFormat="1" applyFont="1" applyFill="1" applyBorder="1" applyAlignment="1">
      <alignment horizontal="right"/>
    </xf>
    <xf numFmtId="0" fontId="75" fillId="0" borderId="115" xfId="0" applyFont="1" applyBorder="1" applyAlignment="1">
      <alignment wrapText="1"/>
    </xf>
    <xf numFmtId="0" fontId="76" fillId="56" borderId="10" xfId="0" applyFont="1" applyFill="1" applyBorder="1" applyAlignment="1">
      <alignment wrapText="1"/>
    </xf>
    <xf numFmtId="43" fontId="29" fillId="56" borderId="24" xfId="47" applyFont="1" applyFill="1" applyBorder="1"/>
    <xf numFmtId="0" fontId="75" fillId="0" borderId="34" xfId="0" applyFont="1" applyBorder="1"/>
    <xf numFmtId="0" fontId="68" fillId="0" borderId="45" xfId="0" applyFont="1" applyBorder="1" applyAlignment="1">
      <alignment horizontal="center"/>
    </xf>
    <xf numFmtId="0" fontId="68" fillId="0" borderId="17" xfId="0" applyFont="1" applyBorder="1" applyAlignment="1">
      <alignment horizontal="center"/>
    </xf>
    <xf numFmtId="0" fontId="75" fillId="0" borderId="0" xfId="0" applyFont="1"/>
    <xf numFmtId="0" fontId="28" fillId="0" borderId="0" xfId="0" applyFont="1"/>
    <xf numFmtId="4" fontId="28" fillId="0" borderId="0" xfId="0" applyNumberFormat="1" applyFont="1"/>
    <xf numFmtId="0" fontId="12" fillId="52" borderId="32" xfId="0" applyFont="1" applyFill="1" applyBorder="1" applyAlignment="1">
      <alignment horizontal="center"/>
    </xf>
    <xf numFmtId="0" fontId="53" fillId="0" borderId="26" xfId="0" applyFont="1" applyBorder="1"/>
    <xf numFmtId="0" fontId="38" fillId="0" borderId="27" xfId="0" applyFont="1" applyBorder="1" applyAlignment="1">
      <alignment horizontal="center"/>
    </xf>
    <xf numFmtId="14" fontId="50" fillId="0" borderId="124" xfId="0" applyNumberFormat="1" applyFont="1" applyBorder="1" applyAlignment="1">
      <alignment horizontal="center"/>
    </xf>
    <xf numFmtId="43" fontId="38" fillId="51" borderId="0" xfId="47" applyFont="1" applyFill="1" applyBorder="1"/>
    <xf numFmtId="43" fontId="50" fillId="59" borderId="78" xfId="47" applyFont="1" applyFill="1" applyBorder="1" applyAlignment="1">
      <alignment horizontal="right"/>
    </xf>
    <xf numFmtId="43" fontId="38" fillId="59" borderId="78" xfId="47" applyFont="1" applyFill="1" applyBorder="1" applyAlignment="1">
      <alignment horizontal="right"/>
    </xf>
    <xf numFmtId="0" fontId="77" fillId="0" borderId="78" xfId="0" applyFont="1" applyBorder="1" applyAlignment="1">
      <alignment vertical="top" wrapText="1"/>
    </xf>
    <xf numFmtId="0" fontId="62" fillId="0" borderId="26" xfId="0" applyFont="1" applyBorder="1"/>
    <xf numFmtId="0" fontId="50" fillId="0" borderId="27" xfId="0" applyFont="1" applyBorder="1" applyAlignment="1">
      <alignment horizontal="center"/>
    </xf>
    <xf numFmtId="43" fontId="63" fillId="50" borderId="97" xfId="47" applyFont="1" applyFill="1" applyBorder="1"/>
    <xf numFmtId="43" fontId="24" fillId="51" borderId="0" xfId="47" applyFont="1" applyFill="1" applyBorder="1"/>
    <xf numFmtId="43" fontId="50" fillId="0" borderId="78" xfId="47" applyFont="1" applyFill="1" applyBorder="1" applyAlignment="1">
      <alignment horizontal="right"/>
    </xf>
    <xf numFmtId="43" fontId="74" fillId="59" borderId="78" xfId="47" applyFont="1" applyFill="1" applyBorder="1" applyAlignment="1">
      <alignment horizontal="right"/>
    </xf>
    <xf numFmtId="43" fontId="37" fillId="0" borderId="78" xfId="47" applyFont="1" applyFill="1" applyBorder="1"/>
    <xf numFmtId="43" fontId="37" fillId="59" borderId="78" xfId="47" applyFont="1" applyFill="1" applyBorder="1" applyAlignment="1">
      <alignment horizontal="right"/>
    </xf>
    <xf numFmtId="0" fontId="15" fillId="0" borderId="78" xfId="0" applyFont="1" applyBorder="1"/>
    <xf numFmtId="0" fontId="55" fillId="0" borderId="108" xfId="0" applyFont="1" applyBorder="1" applyAlignment="1">
      <alignment horizontal="center"/>
    </xf>
    <xf numFmtId="0" fontId="0" fillId="0" borderId="22" xfId="0" applyBorder="1"/>
    <xf numFmtId="43" fontId="50" fillId="0" borderId="107" xfId="47" applyFont="1" applyFill="1" applyBorder="1" applyAlignment="1">
      <alignment horizontal="right"/>
    </xf>
    <xf numFmtId="0" fontId="24" fillId="0" borderId="125" xfId="0" applyFont="1" applyBorder="1" applyAlignment="1">
      <alignment horizontal="center" wrapText="1"/>
    </xf>
    <xf numFmtId="0" fontId="67" fillId="0" borderId="78" xfId="0" applyFont="1" applyBorder="1" applyAlignment="1">
      <alignment horizontal="left" wrapText="1"/>
    </xf>
    <xf numFmtId="0" fontId="68" fillId="0" borderId="78" xfId="0" applyFont="1" applyBorder="1"/>
    <xf numFmtId="43" fontId="63" fillId="59" borderId="78" xfId="47" applyFont="1" applyFill="1" applyBorder="1" applyAlignment="1">
      <alignment horizontal="right"/>
    </xf>
    <xf numFmtId="43" fontId="38" fillId="51" borderId="0" xfId="47" quotePrefix="1" applyFont="1" applyFill="1" applyBorder="1"/>
    <xf numFmtId="43" fontId="38" fillId="50" borderId="78" xfId="0" applyNumberFormat="1" applyFont="1" applyFill="1" applyBorder="1"/>
    <xf numFmtId="0" fontId="68" fillId="0" borderId="78" xfId="0" applyFont="1" applyBorder="1" applyAlignment="1">
      <alignment horizontal="left"/>
    </xf>
    <xf numFmtId="0" fontId="67" fillId="0" borderId="91" xfId="0" applyFont="1" applyBorder="1" applyAlignment="1">
      <alignment horizontal="left" wrapText="1"/>
    </xf>
    <xf numFmtId="43" fontId="0" fillId="0" borderId="91" xfId="47" applyFont="1" applyBorder="1"/>
    <xf numFmtId="43" fontId="0" fillId="0" borderId="91" xfId="47" applyFont="1" applyFill="1" applyBorder="1"/>
    <xf numFmtId="43" fontId="50" fillId="0" borderId="91" xfId="47" applyFont="1" applyFill="1" applyBorder="1"/>
    <xf numFmtId="43" fontId="50" fillId="0" borderId="0" xfId="47" applyFont="1" applyFill="1" applyBorder="1"/>
    <xf numFmtId="14" fontId="63" fillId="0" borderId="91" xfId="0" applyNumberFormat="1" applyFont="1" applyBorder="1" applyAlignment="1">
      <alignment horizontal="center"/>
    </xf>
    <xf numFmtId="41" fontId="38" fillId="0" borderId="91" xfId="47" applyNumberFormat="1" applyFont="1" applyFill="1" applyBorder="1" applyAlignment="1">
      <alignment horizontal="center"/>
    </xf>
    <xf numFmtId="43" fontId="38" fillId="50" borderId="0" xfId="0" applyNumberFormat="1" applyFont="1" applyFill="1"/>
    <xf numFmtId="0" fontId="67" fillId="0" borderId="54" xfId="0" applyFont="1" applyBorder="1" applyAlignment="1">
      <alignment horizontal="left" wrapText="1"/>
    </xf>
    <xf numFmtId="43" fontId="0" fillId="0" borderId="54" xfId="47" applyFont="1" applyBorder="1"/>
    <xf numFmtId="43" fontId="0" fillId="0" borderId="54" xfId="47" applyFont="1" applyFill="1" applyBorder="1"/>
    <xf numFmtId="0" fontId="56" fillId="0" borderId="78" xfId="0" applyFont="1" applyBorder="1" applyAlignment="1">
      <alignment horizontal="center"/>
    </xf>
    <xf numFmtId="0" fontId="53" fillId="0" borderId="78" xfId="0" applyFont="1" applyBorder="1"/>
    <xf numFmtId="14" fontId="63" fillId="0" borderId="78" xfId="0" applyNumberFormat="1" applyFont="1" applyBorder="1" applyAlignment="1">
      <alignment horizontal="center"/>
    </xf>
    <xf numFmtId="41" fontId="38" fillId="0" borderId="78" xfId="47" applyNumberFormat="1" applyFont="1" applyFill="1" applyBorder="1" applyAlignment="1">
      <alignment horizontal="center"/>
    </xf>
    <xf numFmtId="43" fontId="37" fillId="51" borderId="24" xfId="47" applyFont="1" applyFill="1" applyBorder="1"/>
    <xf numFmtId="43" fontId="37" fillId="0" borderId="12" xfId="47" applyFont="1" applyBorder="1" applyAlignment="1">
      <alignment horizontal="right"/>
    </xf>
    <xf numFmtId="43" fontId="37" fillId="54" borderId="12" xfId="47" applyFont="1" applyFill="1" applyBorder="1" applyAlignment="1">
      <alignment horizontal="right"/>
    </xf>
    <xf numFmtId="43" fontId="78" fillId="0" borderId="12" xfId="47" applyFont="1" applyBorder="1" applyAlignment="1">
      <alignment horizontal="right"/>
    </xf>
    <xf numFmtId="0" fontId="55" fillId="0" borderId="43" xfId="0" applyFont="1" applyBorder="1" applyAlignment="1">
      <alignment horizontal="center"/>
    </xf>
    <xf numFmtId="0" fontId="63" fillId="0" borderId="0" xfId="0" applyFont="1"/>
    <xf numFmtId="43" fontId="38" fillId="0" borderId="0" xfId="47" applyFont="1" applyBorder="1" applyAlignment="1">
      <alignment horizontal="right"/>
    </xf>
    <xf numFmtId="0" fontId="43" fillId="0" borderId="12" xfId="0" applyFont="1" applyBorder="1"/>
    <xf numFmtId="0" fontId="53" fillId="0" borderId="44" xfId="0" applyFont="1" applyBorder="1" applyAlignment="1">
      <alignment horizontal="left" wrapText="1"/>
    </xf>
    <xf numFmtId="0" fontId="38" fillId="0" borderId="31" xfId="0" applyFont="1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38" fillId="0" borderId="31" xfId="0" applyFont="1" applyBorder="1" applyAlignment="1">
      <alignment horizontal="center" wrapText="1"/>
    </xf>
    <xf numFmtId="0" fontId="38" fillId="0" borderId="31" xfId="0" applyFont="1" applyBorder="1"/>
    <xf numFmtId="169" fontId="13" fillId="0" borderId="31" xfId="0" applyNumberFormat="1" applyFont="1" applyBorder="1"/>
    <xf numFmtId="43" fontId="13" fillId="0" borderId="31" xfId="0" applyNumberFormat="1" applyFont="1" applyBorder="1"/>
    <xf numFmtId="169" fontId="13" fillId="0" borderId="31" xfId="0" applyNumberFormat="1" applyFont="1" applyBorder="1" applyAlignment="1">
      <alignment horizontal="center"/>
    </xf>
    <xf numFmtId="4" fontId="0" fillId="0" borderId="31" xfId="0" applyNumberFormat="1" applyBorder="1"/>
    <xf numFmtId="0" fontId="0" fillId="0" borderId="13" xfId="0" applyBorder="1" applyAlignment="1">
      <alignment horizontal="left" wrapText="1"/>
    </xf>
    <xf numFmtId="169" fontId="0" fillId="0" borderId="0" xfId="0" applyNumberFormat="1"/>
    <xf numFmtId="43" fontId="38" fillId="0" borderId="0" xfId="47" applyFont="1"/>
    <xf numFmtId="17" fontId="38" fillId="60" borderId="78" xfId="0" applyNumberFormat="1" applyFont="1" applyFill="1" applyBorder="1"/>
    <xf numFmtId="17" fontId="38" fillId="60" borderId="78" xfId="0" applyNumberFormat="1" applyFont="1" applyFill="1" applyBorder="1" applyAlignment="1">
      <alignment horizontal="center"/>
    </xf>
    <xf numFmtId="43" fontId="0" fillId="60" borderId="78" xfId="47" applyFont="1" applyFill="1" applyBorder="1"/>
    <xf numFmtId="43" fontId="38" fillId="60" borderId="78" xfId="47" applyFont="1" applyFill="1" applyBorder="1"/>
    <xf numFmtId="43" fontId="0" fillId="0" borderId="0" xfId="47" applyFont="1" applyFill="1" applyBorder="1"/>
    <xf numFmtId="43" fontId="24" fillId="0" borderId="78" xfId="50" applyFont="1" applyFill="1" applyBorder="1"/>
    <xf numFmtId="43" fontId="13" fillId="60" borderId="78" xfId="47" applyFont="1" applyFill="1" applyBorder="1"/>
    <xf numFmtId="43" fontId="63" fillId="60" borderId="78" xfId="47" applyFont="1" applyFill="1" applyBorder="1"/>
    <xf numFmtId="17" fontId="38" fillId="0" borderId="78" xfId="0" applyNumberFormat="1" applyFont="1" applyBorder="1"/>
    <xf numFmtId="43" fontId="63" fillId="0" borderId="78" xfId="47" applyFont="1" applyFill="1" applyBorder="1"/>
    <xf numFmtId="43" fontId="38" fillId="0" borderId="78" xfId="0" applyNumberFormat="1" applyFont="1" applyBorder="1"/>
    <xf numFmtId="17" fontId="38" fillId="0" borderId="78" xfId="0" applyNumberFormat="1" applyFont="1" applyBorder="1" applyAlignment="1">
      <alignment horizontal="center"/>
    </xf>
    <xf numFmtId="43" fontId="38" fillId="0" borderId="0" xfId="0" applyNumberFormat="1" applyFont="1"/>
    <xf numFmtId="0" fontId="0" fillId="0" borderId="0" xfId="0" applyAlignment="1">
      <alignment horizontal="center"/>
    </xf>
    <xf numFmtId="49" fontId="79" fillId="57" borderId="97" xfId="0" quotePrefix="1" applyNumberFormat="1" applyFont="1" applyFill="1" applyBorder="1" applyAlignment="1">
      <alignment horizontal="center"/>
    </xf>
    <xf numFmtId="49" fontId="55" fillId="57" borderId="97" xfId="0" quotePrefix="1" applyNumberFormat="1" applyFont="1" applyFill="1" applyBorder="1" applyAlignment="1">
      <alignment horizontal="center"/>
    </xf>
    <xf numFmtId="4" fontId="55" fillId="57" borderId="97" xfId="0" quotePrefix="1" applyNumberFormat="1" applyFont="1" applyFill="1" applyBorder="1" applyAlignment="1">
      <alignment horizontal="center"/>
    </xf>
    <xf numFmtId="4" fontId="38" fillId="54" borderId="0" xfId="0" applyNumberFormat="1" applyFont="1" applyFill="1"/>
    <xf numFmtId="4" fontId="38" fillId="54" borderId="0" xfId="0" applyNumberFormat="1" applyFont="1" applyFill="1" applyAlignment="1">
      <alignment horizontal="center"/>
    </xf>
    <xf numFmtId="4" fontId="0" fillId="0" borderId="22" xfId="0" applyNumberFormat="1" applyBorder="1"/>
    <xf numFmtId="4" fontId="38" fillId="0" borderId="0" xfId="0" applyNumberFormat="1" applyFont="1" applyAlignment="1">
      <alignment horizontal="center"/>
    </xf>
    <xf numFmtId="4" fontId="63" fillId="0" borderId="0" xfId="0" applyNumberFormat="1" applyFont="1"/>
    <xf numFmtId="4" fontId="63" fillId="0" borderId="0" xfId="0" applyNumberFormat="1" applyFont="1" applyAlignment="1">
      <alignment horizontal="center"/>
    </xf>
    <xf numFmtId="4" fontId="13" fillId="0" borderId="16" xfId="0" applyNumberFormat="1" applyFont="1" applyBorder="1"/>
    <xf numFmtId="4" fontId="78" fillId="0" borderId="10" xfId="0" applyNumberFormat="1" applyFont="1" applyBorder="1"/>
    <xf numFmtId="43" fontId="38" fillId="0" borderId="0" xfId="47" applyFont="1" applyAlignment="1">
      <alignment horizontal="center"/>
    </xf>
    <xf numFmtId="1" fontId="0" fillId="0" borderId="22" xfId="0" applyNumberFormat="1" applyBorder="1"/>
    <xf numFmtId="43" fontId="53" fillId="0" borderId="0" xfId="47" applyFont="1"/>
    <xf numFmtId="43" fontId="38" fillId="0" borderId="27" xfId="47" applyFont="1" applyFill="1" applyBorder="1" applyAlignment="1">
      <alignment horizontal="right"/>
    </xf>
    <xf numFmtId="14" fontId="50" fillId="0" borderId="27" xfId="0" applyNumberFormat="1" applyFont="1" applyBorder="1" applyAlignment="1">
      <alignment horizontal="center"/>
    </xf>
    <xf numFmtId="43" fontId="38" fillId="0" borderId="28" xfId="47" applyFont="1" applyBorder="1" applyAlignment="1">
      <alignment horizontal="right"/>
    </xf>
    <xf numFmtId="43" fontId="38" fillId="0" borderId="0" xfId="0" applyNumberFormat="1" applyFont="1" applyAlignment="1">
      <alignment horizontal="center"/>
    </xf>
    <xf numFmtId="43" fontId="63" fillId="0" borderId="0" xfId="0" applyNumberFormat="1" applyFont="1"/>
    <xf numFmtId="14" fontId="50" fillId="35" borderId="27" xfId="0" applyNumberFormat="1" applyFont="1" applyFill="1" applyBorder="1" applyAlignment="1">
      <alignment horizontal="center"/>
    </xf>
    <xf numFmtId="43" fontId="50" fillId="0" borderId="28" xfId="47" applyFont="1" applyFill="1" applyBorder="1" applyAlignment="1">
      <alignment horizontal="right"/>
    </xf>
    <xf numFmtId="43" fontId="50" fillId="0" borderId="83" xfId="47" applyFont="1" applyFill="1" applyBorder="1" applyAlignment="1">
      <alignment horizontal="right"/>
    </xf>
    <xf numFmtId="8" fontId="50" fillId="0" borderId="27" xfId="0" applyNumberFormat="1" applyFont="1" applyBorder="1" applyAlignment="1">
      <alignment horizontal="right" vertical="center"/>
    </xf>
    <xf numFmtId="4" fontId="50" fillId="0" borderId="27" xfId="0" applyNumberFormat="1" applyFont="1" applyBorder="1" applyAlignment="1">
      <alignment horizontal="right" vertical="center"/>
    </xf>
    <xf numFmtId="167" fontId="50" fillId="0" borderId="38" xfId="0" applyNumberFormat="1" applyFont="1" applyBorder="1" applyAlignment="1">
      <alignment horizontal="right" vertical="center"/>
    </xf>
    <xf numFmtId="1" fontId="71" fillId="57" borderId="22" xfId="0" applyNumberFormat="1" applyFont="1" applyFill="1" applyBorder="1" applyAlignment="1">
      <alignment horizontal="center"/>
    </xf>
    <xf numFmtId="4" fontId="71" fillId="35" borderId="27" xfId="0" applyNumberFormat="1" applyFont="1" applyFill="1" applyBorder="1"/>
    <xf numFmtId="4" fontId="71" fillId="0" borderId="22" xfId="0" applyNumberFormat="1" applyFont="1" applyBorder="1"/>
    <xf numFmtId="166" fontId="71" fillId="0" borderId="10" xfId="0" applyNumberFormat="1" applyFont="1" applyBorder="1" applyAlignment="1">
      <alignment vertical="center"/>
    </xf>
    <xf numFmtId="166" fontId="71" fillId="35" borderId="22" xfId="0" applyNumberFormat="1" applyFont="1" applyFill="1" applyBorder="1" applyAlignment="1">
      <alignment horizontal="right"/>
    </xf>
    <xf numFmtId="4" fontId="71" fillId="0" borderId="12" xfId="0" applyNumberFormat="1" applyFont="1" applyBorder="1"/>
    <xf numFmtId="4" fontId="21" fillId="34" borderId="16" xfId="0" applyNumberFormat="1" applyFont="1" applyFill="1" applyBorder="1" applyAlignment="1">
      <alignment horizontal="right" vertical="center" wrapText="1"/>
    </xf>
    <xf numFmtId="4" fontId="25" fillId="34" borderId="18" xfId="0" applyNumberFormat="1" applyFont="1" applyFill="1" applyBorder="1" applyAlignment="1">
      <alignment horizontal="right" vertical="center" wrapText="1"/>
    </xf>
    <xf numFmtId="4" fontId="25" fillId="34" borderId="12" xfId="0" applyNumberFormat="1" applyFont="1" applyFill="1" applyBorder="1" applyAlignment="1">
      <alignment horizontal="right" vertical="center" wrapText="1"/>
    </xf>
    <xf numFmtId="4" fontId="21" fillId="34" borderId="78" xfId="0" applyNumberFormat="1" applyFont="1" applyFill="1" applyBorder="1" applyAlignment="1">
      <alignment horizontal="right" vertical="center" wrapText="1"/>
    </xf>
    <xf numFmtId="14" fontId="50" fillId="0" borderId="126" xfId="0" applyNumberFormat="1" applyFont="1" applyBorder="1" applyAlignment="1">
      <alignment horizontal="center"/>
    </xf>
    <xf numFmtId="8" fontId="24" fillId="0" borderId="0" xfId="0" applyNumberFormat="1" applyFont="1"/>
    <xf numFmtId="166" fontId="35" fillId="0" borderId="0" xfId="0" applyNumberFormat="1" applyFont="1"/>
    <xf numFmtId="0" fontId="35" fillId="0" borderId="0" xfId="0" applyFont="1"/>
    <xf numFmtId="4" fontId="26" fillId="0" borderId="0" xfId="0" applyNumberFormat="1" applyFont="1" applyAlignment="1">
      <alignment horizontal="right" wrapText="1"/>
    </xf>
    <xf numFmtId="4" fontId="28" fillId="0" borderId="78" xfId="0" applyNumberFormat="1" applyFont="1" applyBorder="1" applyAlignment="1">
      <alignment horizontal="right"/>
    </xf>
    <xf numFmtId="4" fontId="24" fillId="60" borderId="10" xfId="0" applyNumberFormat="1" applyFont="1" applyFill="1" applyBorder="1"/>
    <xf numFmtId="4" fontId="71" fillId="60" borderId="10" xfId="0" applyNumberFormat="1" applyFont="1" applyFill="1" applyBorder="1"/>
    <xf numFmtId="4" fontId="24" fillId="57" borderId="10" xfId="0" applyNumberFormat="1" applyFont="1" applyFill="1" applyBorder="1"/>
    <xf numFmtId="4" fontId="28" fillId="0" borderId="10" xfId="0" applyNumberFormat="1" applyFont="1" applyBorder="1"/>
    <xf numFmtId="4" fontId="72" fillId="47" borderId="10" xfId="0" applyNumberFormat="1" applyFont="1" applyFill="1" applyBorder="1"/>
    <xf numFmtId="4" fontId="29" fillId="35" borderId="10" xfId="0" applyNumberFormat="1" applyFont="1" applyFill="1" applyBorder="1"/>
    <xf numFmtId="8" fontId="13" fillId="0" borderId="78" xfId="0" applyNumberFormat="1" applyFont="1" applyBorder="1"/>
    <xf numFmtId="8" fontId="78" fillId="34" borderId="10" xfId="0" applyNumberFormat="1" applyFont="1" applyFill="1" applyBorder="1" applyAlignment="1">
      <alignment horizontal="right" vertical="center" wrapText="1"/>
    </xf>
    <xf numFmtId="7" fontId="29" fillId="0" borderId="0" xfId="47" applyNumberFormat="1" applyFont="1" applyBorder="1" applyAlignment="1">
      <alignment horizontal="center"/>
    </xf>
    <xf numFmtId="166" fontId="28" fillId="0" borderId="10" xfId="0" applyNumberFormat="1" applyFont="1" applyBorder="1" applyAlignment="1">
      <alignment vertical="center"/>
    </xf>
    <xf numFmtId="0" fontId="44" fillId="38" borderId="36" xfId="0" applyFont="1" applyFill="1" applyBorder="1" applyAlignment="1">
      <alignment horizontal="center" vertical="center" wrapText="1"/>
    </xf>
    <xf numFmtId="10" fontId="38" fillId="0" borderId="0" xfId="1" applyNumberFormat="1" applyFont="1" applyFill="1" applyBorder="1"/>
    <xf numFmtId="0" fontId="13" fillId="0" borderId="0" xfId="0" applyFont="1"/>
    <xf numFmtId="0" fontId="44" fillId="0" borderId="0" xfId="0" applyFont="1" applyAlignment="1">
      <alignment horizontal="center" vertical="center" wrapText="1"/>
    </xf>
    <xf numFmtId="4" fontId="24" fillId="0" borderId="101" xfId="0" applyNumberFormat="1" applyFont="1" applyBorder="1" applyAlignment="1">
      <alignment vertical="center" wrapText="1"/>
    </xf>
    <xf numFmtId="0" fontId="24" fillId="0" borderId="102" xfId="0" applyFont="1" applyBorder="1"/>
    <xf numFmtId="4" fontId="24" fillId="0" borderId="97" xfId="0" applyNumberFormat="1" applyFont="1" applyBorder="1" applyAlignment="1">
      <alignment horizontal="center" vertical="center"/>
    </xf>
    <xf numFmtId="49" fontId="44" fillId="38" borderId="11" xfId="0" applyNumberFormat="1" applyFont="1" applyFill="1" applyBorder="1" applyAlignment="1">
      <alignment horizontal="center" vertical="center" wrapText="1"/>
    </xf>
    <xf numFmtId="49" fontId="44" fillId="38" borderId="35" xfId="0" applyNumberFormat="1" applyFont="1" applyFill="1" applyBorder="1" applyAlignment="1">
      <alignment horizontal="center" vertical="center" wrapText="1"/>
    </xf>
    <xf numFmtId="0" fontId="44" fillId="38" borderId="25" xfId="0" applyFont="1" applyFill="1" applyBorder="1" applyAlignment="1">
      <alignment horizontal="center" vertical="center" wrapText="1"/>
    </xf>
    <xf numFmtId="14" fontId="50" fillId="0" borderId="128" xfId="0" applyNumberFormat="1" applyFont="1" applyBorder="1" applyAlignment="1">
      <alignment horizontal="center"/>
    </xf>
    <xf numFmtId="43" fontId="28" fillId="0" borderId="127" xfId="47" applyFont="1" applyFill="1" applyBorder="1"/>
    <xf numFmtId="43" fontId="0" fillId="0" borderId="127" xfId="47" applyFont="1" applyFill="1" applyBorder="1"/>
    <xf numFmtId="43" fontId="38" fillId="0" borderId="127" xfId="47" applyFont="1" applyFill="1" applyBorder="1"/>
    <xf numFmtId="43" fontId="50" fillId="0" borderId="127" xfId="47" applyFont="1" applyFill="1" applyBorder="1"/>
    <xf numFmtId="43" fontId="50" fillId="59" borderId="127" xfId="47" applyFont="1" applyFill="1" applyBorder="1" applyAlignment="1">
      <alignment horizontal="right"/>
    </xf>
    <xf numFmtId="43" fontId="38" fillId="59" borderId="127" xfId="47" applyFont="1" applyFill="1" applyBorder="1" applyAlignment="1">
      <alignment horizontal="right"/>
    </xf>
    <xf numFmtId="0" fontId="0" fillId="0" borderId="127" xfId="0" applyBorder="1"/>
    <xf numFmtId="0" fontId="77" fillId="0" borderId="127" xfId="0" applyFont="1" applyBorder="1" applyAlignment="1">
      <alignment vertical="top" wrapText="1"/>
    </xf>
    <xf numFmtId="0" fontId="66" fillId="0" borderId="127" xfId="0" applyFont="1" applyBorder="1"/>
    <xf numFmtId="43" fontId="0" fillId="0" borderId="127" xfId="47" applyFont="1" applyBorder="1"/>
    <xf numFmtId="43" fontId="24" fillId="0" borderId="127" xfId="47" applyFont="1" applyFill="1" applyBorder="1"/>
    <xf numFmtId="43" fontId="50" fillId="0" borderId="127" xfId="47" applyFont="1" applyBorder="1" applyAlignment="1">
      <alignment horizontal="right"/>
    </xf>
    <xf numFmtId="43" fontId="50" fillId="0" borderId="127" xfId="47" applyFont="1" applyFill="1" applyBorder="1" applyAlignment="1">
      <alignment horizontal="right"/>
    </xf>
    <xf numFmtId="43" fontId="74" fillId="59" borderId="127" xfId="47" applyFont="1" applyFill="1" applyBorder="1" applyAlignment="1">
      <alignment horizontal="right"/>
    </xf>
    <xf numFmtId="43" fontId="37" fillId="0" borderId="127" xfId="47" applyFont="1" applyFill="1" applyBorder="1"/>
    <xf numFmtId="43" fontId="37" fillId="59" borderId="127" xfId="47" applyFont="1" applyFill="1" applyBorder="1" applyAlignment="1">
      <alignment horizontal="right"/>
    </xf>
    <xf numFmtId="0" fontId="15" fillId="0" borderId="127" xfId="0" applyFont="1" applyBorder="1"/>
    <xf numFmtId="0" fontId="38" fillId="0" borderId="127" xfId="0" applyFont="1" applyBorder="1" applyAlignment="1">
      <alignment horizontal="center"/>
    </xf>
    <xf numFmtId="14" fontId="50" fillId="0" borderId="127" xfId="0" applyNumberFormat="1" applyFont="1" applyBorder="1" applyAlignment="1">
      <alignment horizontal="center"/>
    </xf>
    <xf numFmtId="43" fontId="38" fillId="0" borderId="127" xfId="47" applyFont="1" applyBorder="1" applyAlignment="1">
      <alignment horizontal="right"/>
    </xf>
    <xf numFmtId="0" fontId="67" fillId="0" borderId="127" xfId="0" applyFont="1" applyBorder="1" applyAlignment="1">
      <alignment horizontal="left" wrapText="1"/>
    </xf>
    <xf numFmtId="0" fontId="53" fillId="0" borderId="129" xfId="0" applyFont="1" applyBorder="1"/>
    <xf numFmtId="43" fontId="68" fillId="0" borderId="127" xfId="47" applyFont="1" applyFill="1" applyBorder="1"/>
    <xf numFmtId="0" fontId="68" fillId="0" borderId="127" xfId="0" applyFont="1" applyBorder="1"/>
    <xf numFmtId="0" fontId="53" fillId="0" borderId="29" xfId="0" applyFont="1" applyBorder="1"/>
    <xf numFmtId="43" fontId="68" fillId="0" borderId="127" xfId="0" applyNumberFormat="1" applyFont="1" applyBorder="1"/>
    <xf numFmtId="43" fontId="63" fillId="59" borderId="127" xfId="47" applyFont="1" applyFill="1" applyBorder="1" applyAlignment="1">
      <alignment horizontal="right"/>
    </xf>
    <xf numFmtId="168" fontId="38" fillId="0" borderId="127" xfId="47" applyNumberFormat="1" applyFont="1" applyFill="1" applyBorder="1"/>
    <xf numFmtId="43" fontId="38" fillId="50" borderId="127" xfId="47" applyFont="1" applyFill="1" applyBorder="1" applyAlignment="1">
      <alignment horizontal="right"/>
    </xf>
    <xf numFmtId="2" fontId="38" fillId="50" borderId="127" xfId="0" applyNumberFormat="1" applyFont="1" applyFill="1" applyBorder="1"/>
    <xf numFmtId="43" fontId="38" fillId="50" borderId="127" xfId="0" applyNumberFormat="1" applyFont="1" applyFill="1" applyBorder="1"/>
    <xf numFmtId="0" fontId="68" fillId="0" borderId="127" xfId="0" applyFont="1" applyBorder="1" applyAlignment="1">
      <alignment horizontal="left"/>
    </xf>
    <xf numFmtId="0" fontId="56" fillId="0" borderId="127" xfId="0" applyFont="1" applyBorder="1" applyAlignment="1">
      <alignment horizontal="center"/>
    </xf>
    <xf numFmtId="0" fontId="53" fillId="0" borderId="127" xfId="0" applyFont="1" applyBorder="1"/>
    <xf numFmtId="43" fontId="38" fillId="0" borderId="127" xfId="47" applyFont="1" applyFill="1" applyBorder="1" applyAlignment="1">
      <alignment horizontal="right"/>
    </xf>
    <xf numFmtId="14" fontId="63" fillId="0" borderId="127" xfId="0" applyNumberFormat="1" applyFont="1" applyBorder="1" applyAlignment="1">
      <alignment horizontal="center"/>
    </xf>
    <xf numFmtId="41" fontId="38" fillId="0" borderId="127" xfId="47" applyNumberFormat="1" applyFont="1" applyFill="1" applyBorder="1" applyAlignment="1">
      <alignment horizontal="center"/>
    </xf>
    <xf numFmtId="43" fontId="78" fillId="54" borderId="12" xfId="47" applyFont="1" applyFill="1" applyBorder="1" applyAlignment="1">
      <alignment horizontal="right"/>
    </xf>
    <xf numFmtId="17" fontId="38" fillId="60" borderId="127" xfId="0" applyNumberFormat="1" applyFont="1" applyFill="1" applyBorder="1"/>
    <xf numFmtId="17" fontId="38" fillId="60" borderId="127" xfId="0" applyNumberFormat="1" applyFont="1" applyFill="1" applyBorder="1" applyAlignment="1">
      <alignment horizontal="center"/>
    </xf>
    <xf numFmtId="43" fontId="0" fillId="60" borderId="127" xfId="47" applyFont="1" applyFill="1" applyBorder="1"/>
    <xf numFmtId="43" fontId="38" fillId="60" borderId="127" xfId="47" applyFont="1" applyFill="1" applyBorder="1"/>
    <xf numFmtId="43" fontId="24" fillId="0" borderId="127" xfId="50" applyFont="1" applyFill="1" applyBorder="1"/>
    <xf numFmtId="43" fontId="13" fillId="60" borderId="127" xfId="47" applyFont="1" applyFill="1" applyBorder="1"/>
    <xf numFmtId="43" fontId="63" fillId="60" borderId="127" xfId="47" applyFont="1" applyFill="1" applyBorder="1"/>
    <xf numFmtId="17" fontId="38" fillId="0" borderId="127" xfId="0" applyNumberFormat="1" applyFont="1" applyBorder="1"/>
    <xf numFmtId="43" fontId="63" fillId="0" borderId="127" xfId="47" applyFont="1" applyFill="1" applyBorder="1"/>
    <xf numFmtId="43" fontId="38" fillId="0" borderId="127" xfId="0" applyNumberFormat="1" applyFont="1" applyBorder="1"/>
    <xf numFmtId="17" fontId="38" fillId="0" borderId="127" xfId="0" applyNumberFormat="1" applyFont="1" applyBorder="1" applyAlignment="1">
      <alignment horizontal="center"/>
    </xf>
    <xf numFmtId="43" fontId="63" fillId="0" borderId="30" xfId="47" applyFont="1" applyBorder="1" applyAlignment="1">
      <alignment horizontal="right"/>
    </xf>
    <xf numFmtId="14" fontId="50" fillId="35" borderId="130" xfId="0" applyNumberFormat="1" applyFont="1" applyFill="1" applyBorder="1" applyAlignment="1">
      <alignment horizontal="center"/>
    </xf>
    <xf numFmtId="0" fontId="53" fillId="35" borderId="29" xfId="0" applyFont="1" applyFill="1" applyBorder="1"/>
    <xf numFmtId="0" fontId="53" fillId="35" borderId="37" xfId="0" applyFont="1" applyFill="1" applyBorder="1"/>
    <xf numFmtId="0" fontId="38" fillId="0" borderId="38" xfId="0" applyFont="1" applyBorder="1" applyAlignment="1">
      <alignment horizontal="center"/>
    </xf>
    <xf numFmtId="14" fontId="50" fillId="0" borderId="38" xfId="0" applyNumberFormat="1" applyFont="1" applyBorder="1" applyAlignment="1">
      <alignment horizontal="center"/>
    </xf>
    <xf numFmtId="43" fontId="38" fillId="0" borderId="46" xfId="47" applyFont="1" applyBorder="1" applyAlignment="1">
      <alignment horizontal="right"/>
    </xf>
    <xf numFmtId="0" fontId="62" fillId="0" borderId="29" xfId="0" applyFont="1" applyBorder="1"/>
    <xf numFmtId="0" fontId="50" fillId="0" borderId="127" xfId="0" applyFont="1" applyBorder="1" applyAlignment="1">
      <alignment horizontal="center"/>
    </xf>
    <xf numFmtId="14" fontId="50" fillId="35" borderId="127" xfId="0" applyNumberFormat="1" applyFont="1" applyFill="1" applyBorder="1" applyAlignment="1">
      <alignment horizontal="center"/>
    </xf>
    <xf numFmtId="43" fontId="50" fillId="0" borderId="30" xfId="47" applyFont="1" applyFill="1" applyBorder="1" applyAlignment="1">
      <alignment horizontal="right"/>
    </xf>
    <xf numFmtId="43" fontId="50" fillId="0" borderId="30" xfId="47" applyFont="1" applyBorder="1" applyAlignment="1">
      <alignment horizontal="right"/>
    </xf>
    <xf numFmtId="4" fontId="0" fillId="0" borderId="43" xfId="0" applyNumberFormat="1" applyBorder="1"/>
    <xf numFmtId="43" fontId="38" fillId="0" borderId="127" xfId="47" applyFont="1" applyBorder="1"/>
    <xf numFmtId="0" fontId="15" fillId="0" borderId="0" xfId="0" applyFont="1" applyAlignment="1">
      <alignment horizontal="center"/>
    </xf>
    <xf numFmtId="1" fontId="38" fillId="0" borderId="22" xfId="0" applyNumberFormat="1" applyFont="1" applyBorder="1" applyAlignment="1">
      <alignment vertical="center"/>
    </xf>
    <xf numFmtId="0" fontId="73" fillId="0" borderId="0" xfId="0" applyFont="1"/>
    <xf numFmtId="166" fontId="24" fillId="34" borderId="27" xfId="0" applyNumberFormat="1" applyFont="1" applyFill="1" applyBorder="1" applyAlignment="1">
      <alignment horizontal="center" wrapText="1"/>
    </xf>
    <xf numFmtId="4" fontId="24" fillId="34" borderId="48" xfId="0" applyNumberFormat="1" applyFont="1" applyFill="1" applyBorder="1" applyAlignment="1">
      <alignment horizontal="center" wrapText="1"/>
    </xf>
    <xf numFmtId="4" fontId="18" fillId="34" borderId="48" xfId="0" applyNumberFormat="1" applyFont="1" applyFill="1" applyBorder="1" applyAlignment="1">
      <alignment horizontal="center" vertical="center" wrapText="1"/>
    </xf>
    <xf numFmtId="4" fontId="18" fillId="34" borderId="38" xfId="0" applyNumberFormat="1" applyFont="1" applyFill="1" applyBorder="1" applyAlignment="1">
      <alignment horizontal="center" vertical="center" wrapText="1"/>
    </xf>
    <xf numFmtId="8" fontId="25" fillId="34" borderId="10" xfId="0" applyNumberFormat="1" applyFont="1" applyFill="1" applyBorder="1" applyAlignment="1">
      <alignment horizontal="center" vertical="center" wrapText="1"/>
    </xf>
    <xf numFmtId="8" fontId="21" fillId="34" borderId="80" xfId="0" applyNumberFormat="1" applyFont="1" applyFill="1" applyBorder="1" applyAlignment="1">
      <alignment horizontal="center" vertical="center" wrapText="1"/>
    </xf>
    <xf numFmtId="4" fontId="18" fillId="34" borderId="78" xfId="0" applyNumberFormat="1" applyFont="1" applyFill="1" applyBorder="1" applyAlignment="1">
      <alignment horizontal="center" vertical="center" wrapText="1"/>
    </xf>
    <xf numFmtId="4" fontId="18" fillId="34" borderId="91" xfId="0" applyNumberFormat="1" applyFont="1" applyFill="1" applyBorder="1" applyAlignment="1">
      <alignment horizontal="center" vertical="center" wrapText="1"/>
    </xf>
    <xf numFmtId="4" fontId="24" fillId="0" borderId="127" xfId="0" applyNumberFormat="1" applyFont="1" applyBorder="1" applyAlignment="1">
      <alignment horizontal="right"/>
    </xf>
    <xf numFmtId="4" fontId="28" fillId="0" borderId="127" xfId="0" applyNumberFormat="1" applyFont="1" applyBorder="1" applyAlignment="1">
      <alignment horizontal="right"/>
    </xf>
    <xf numFmtId="0" fontId="20" fillId="0" borderId="43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166" fontId="26" fillId="0" borderId="52" xfId="0" applyNumberFormat="1" applyFont="1" applyBorder="1"/>
    <xf numFmtId="10" fontId="26" fillId="0" borderId="12" xfId="1" applyNumberFormat="1" applyFont="1" applyBorder="1"/>
    <xf numFmtId="166" fontId="71" fillId="60" borderId="10" xfId="0" applyNumberFormat="1" applyFont="1" applyFill="1" applyBorder="1" applyAlignment="1">
      <alignment vertical="center"/>
    </xf>
    <xf numFmtId="4" fontId="71" fillId="0" borderId="97" xfId="0" applyNumberFormat="1" applyFont="1" applyBorder="1" applyAlignment="1">
      <alignment horizontal="center" vertical="center"/>
    </xf>
    <xf numFmtId="4" fontId="71" fillId="0" borderId="90" xfId="0" applyNumberFormat="1" applyFont="1" applyBorder="1" applyAlignment="1">
      <alignment horizontal="center" vertical="center"/>
    </xf>
    <xf numFmtId="4" fontId="71" fillId="0" borderId="0" xfId="0" applyNumberFormat="1" applyFont="1" applyAlignment="1">
      <alignment vertical="center" wrapText="1"/>
    </xf>
    <xf numFmtId="0" fontId="28" fillId="35" borderId="33" xfId="0" applyFont="1" applyFill="1" applyBorder="1" applyAlignment="1">
      <alignment horizontal="left" wrapText="1"/>
    </xf>
    <xf numFmtId="4" fontId="28" fillId="35" borderId="29" xfId="0" applyNumberFormat="1" applyFont="1" applyFill="1" applyBorder="1" applyAlignment="1">
      <alignment horizontal="right"/>
    </xf>
    <xf numFmtId="4" fontId="28" fillId="35" borderId="127" xfId="0" applyNumberFormat="1" applyFont="1" applyFill="1" applyBorder="1" applyAlignment="1">
      <alignment horizontal="right"/>
    </xf>
    <xf numFmtId="0" fontId="28" fillId="35" borderId="33" xfId="0" applyFont="1" applyFill="1" applyBorder="1" applyAlignment="1">
      <alignment horizontal="left"/>
    </xf>
    <xf numFmtId="4" fontId="29" fillId="56" borderId="23" xfId="0" applyNumberFormat="1" applyFont="1" applyFill="1" applyBorder="1" applyAlignment="1">
      <alignment horizontal="right"/>
    </xf>
    <xf numFmtId="0" fontId="29" fillId="56" borderId="12" xfId="0" applyFont="1" applyFill="1" applyBorder="1" applyAlignment="1">
      <alignment horizontal="left"/>
    </xf>
    <xf numFmtId="0" fontId="73" fillId="56" borderId="13" xfId="0" applyFont="1" applyFill="1" applyBorder="1" applyAlignment="1">
      <alignment horizontal="center"/>
    </xf>
    <xf numFmtId="0" fontId="28" fillId="0" borderId="127" xfId="0" applyFont="1" applyBorder="1" applyAlignment="1">
      <alignment horizontal="left" wrapText="1"/>
    </xf>
    <xf numFmtId="0" fontId="75" fillId="0" borderId="33" xfId="0" applyFont="1" applyBorder="1" applyAlignment="1">
      <alignment wrapText="1"/>
    </xf>
    <xf numFmtId="43" fontId="29" fillId="56" borderId="23" xfId="47" applyFont="1" applyFill="1" applyBorder="1"/>
    <xf numFmtId="43" fontId="29" fillId="56" borderId="52" xfId="47" applyFont="1" applyFill="1" applyBorder="1"/>
    <xf numFmtId="0" fontId="28" fillId="35" borderId="127" xfId="0" applyFont="1" applyFill="1" applyBorder="1" applyAlignment="1">
      <alignment horizontal="left" wrapText="1"/>
    </xf>
    <xf numFmtId="0" fontId="68" fillId="0" borderId="33" xfId="0" applyFont="1" applyBorder="1" applyAlignment="1">
      <alignment horizontal="center"/>
    </xf>
    <xf numFmtId="0" fontId="28" fillId="35" borderId="130" xfId="0" applyFont="1" applyFill="1" applyBorder="1" applyAlignment="1">
      <alignment horizontal="left" wrapText="1"/>
    </xf>
    <xf numFmtId="0" fontId="68" fillId="0" borderId="34" xfId="0" applyFont="1" applyBorder="1" applyAlignment="1">
      <alignment horizontal="center"/>
    </xf>
    <xf numFmtId="0" fontId="29" fillId="56" borderId="12" xfId="0" applyFont="1" applyFill="1" applyBorder="1" applyAlignment="1">
      <alignment horizontal="left" wrapText="1"/>
    </xf>
    <xf numFmtId="4" fontId="29" fillId="56" borderId="55" xfId="0" applyNumberFormat="1" applyFont="1" applyFill="1" applyBorder="1" applyAlignment="1">
      <alignment horizontal="right"/>
    </xf>
    <xf numFmtId="4" fontId="29" fillId="56" borderId="52" xfId="0" applyNumberFormat="1" applyFont="1" applyFill="1" applyBorder="1" applyAlignment="1">
      <alignment horizontal="right"/>
    </xf>
    <xf numFmtId="0" fontId="29" fillId="56" borderId="18" xfId="0" applyFont="1" applyFill="1" applyBorder="1" applyAlignment="1">
      <alignment horizontal="left" wrapText="1"/>
    </xf>
    <xf numFmtId="0" fontId="73" fillId="56" borderId="16" xfId="0" applyFont="1" applyFill="1" applyBorder="1" applyAlignment="1">
      <alignment horizontal="center"/>
    </xf>
    <xf numFmtId="4" fontId="29" fillId="56" borderId="123" xfId="0" applyNumberFormat="1" applyFont="1" applyFill="1" applyBorder="1" applyAlignment="1">
      <alignment horizontal="right"/>
    </xf>
    <xf numFmtId="4" fontId="29" fillId="56" borderId="104" xfId="0" applyNumberFormat="1" applyFont="1" applyFill="1" applyBorder="1" applyAlignment="1">
      <alignment horizontal="right"/>
    </xf>
    <xf numFmtId="0" fontId="28" fillId="35" borderId="127" xfId="0" applyFont="1" applyFill="1" applyBorder="1" applyAlignment="1">
      <alignment horizontal="left"/>
    </xf>
    <xf numFmtId="0" fontId="68" fillId="0" borderId="127" xfId="0" applyFont="1" applyBorder="1" applyAlignment="1">
      <alignment horizontal="center"/>
    </xf>
    <xf numFmtId="0" fontId="27" fillId="35" borderId="127" xfId="0" applyFont="1" applyFill="1" applyBorder="1" applyAlignment="1">
      <alignment horizontal="left"/>
    </xf>
    <xf numFmtId="4" fontId="29" fillId="56" borderId="88" xfId="0" applyNumberFormat="1" applyFont="1" applyFill="1" applyBorder="1" applyAlignment="1">
      <alignment horizontal="right"/>
    </xf>
    <xf numFmtId="0" fontId="75" fillId="0" borderId="33" xfId="0" applyFont="1" applyBorder="1"/>
    <xf numFmtId="4" fontId="28" fillId="35" borderId="38" xfId="0" applyNumberFormat="1" applyFont="1" applyFill="1" applyBorder="1" applyAlignment="1">
      <alignment horizontal="right"/>
    </xf>
    <xf numFmtId="0" fontId="29" fillId="35" borderId="10" xfId="0" applyFont="1" applyFill="1" applyBorder="1" applyAlignment="1">
      <alignment horizontal="center" wrapText="1"/>
    </xf>
    <xf numFmtId="0" fontId="73" fillId="0" borderId="10" xfId="0" applyFont="1" applyBorder="1" applyAlignment="1">
      <alignment horizontal="center"/>
    </xf>
    <xf numFmtId="4" fontId="29" fillId="35" borderId="23" xfId="0" applyNumberFormat="1" applyFont="1" applyFill="1" applyBorder="1" applyAlignment="1">
      <alignment horizontal="right"/>
    </xf>
    <xf numFmtId="4" fontId="29" fillId="35" borderId="24" xfId="0" applyNumberFormat="1" applyFont="1" applyFill="1" applyBorder="1" applyAlignment="1">
      <alignment horizontal="right"/>
    </xf>
    <xf numFmtId="4" fontId="29" fillId="35" borderId="25" xfId="0" applyNumberFormat="1" applyFont="1" applyFill="1" applyBorder="1" applyAlignment="1">
      <alignment horizontal="right"/>
    </xf>
    <xf numFmtId="0" fontId="76" fillId="56" borderId="127" xfId="0" applyFont="1" applyFill="1" applyBorder="1"/>
    <xf numFmtId="0" fontId="75" fillId="56" borderId="0" xfId="0" applyFont="1" applyFill="1"/>
    <xf numFmtId="43" fontId="28" fillId="56" borderId="0" xfId="47" applyFont="1" applyFill="1"/>
    <xf numFmtId="0" fontId="78" fillId="0" borderId="0" xfId="0" applyFont="1"/>
    <xf numFmtId="4" fontId="0" fillId="0" borderId="16" xfId="0" applyNumberFormat="1" applyFont="1" applyBorder="1"/>
    <xf numFmtId="0" fontId="20" fillId="0" borderId="36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0" fillId="0" borderId="3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9" fillId="44" borderId="47" xfId="0" applyFont="1" applyFill="1" applyBorder="1" applyAlignment="1">
      <alignment horizontal="center" vertical="center" wrapText="1"/>
    </xf>
    <xf numFmtId="0" fontId="19" fillId="44" borderId="32" xfId="0" applyFont="1" applyFill="1" applyBorder="1" applyAlignment="1">
      <alignment horizontal="center" vertical="center"/>
    </xf>
    <xf numFmtId="0" fontId="19" fillId="44" borderId="19" xfId="0" applyFont="1" applyFill="1" applyBorder="1" applyAlignment="1">
      <alignment horizontal="center" vertical="center"/>
    </xf>
    <xf numFmtId="0" fontId="19" fillId="44" borderId="44" xfId="0" applyFont="1" applyFill="1" applyBorder="1" applyAlignment="1">
      <alignment horizontal="center" vertical="center"/>
    </xf>
    <xf numFmtId="0" fontId="19" fillId="44" borderId="31" xfId="0" applyFont="1" applyFill="1" applyBorder="1" applyAlignment="1">
      <alignment horizontal="center" vertical="center"/>
    </xf>
    <xf numFmtId="0" fontId="19" fillId="44" borderId="13" xfId="0" applyFont="1" applyFill="1" applyBorder="1" applyAlignment="1">
      <alignment horizontal="center" vertic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55" fillId="42" borderId="18" xfId="0" applyFont="1" applyFill="1" applyBorder="1" applyAlignment="1">
      <alignment horizontal="center" vertical="center" wrapText="1"/>
    </xf>
    <xf numFmtId="0" fontId="55" fillId="42" borderId="12" xfId="0" applyFont="1" applyFill="1" applyBorder="1" applyAlignment="1">
      <alignment horizontal="center" vertical="center" wrapText="1"/>
    </xf>
    <xf numFmtId="0" fontId="37" fillId="42" borderId="18" xfId="0" applyFont="1" applyFill="1" applyBorder="1" applyAlignment="1">
      <alignment horizontal="center" vertical="center" wrapText="1"/>
    </xf>
    <xf numFmtId="0" fontId="37" fillId="42" borderId="12" xfId="0" applyFont="1" applyFill="1" applyBorder="1" applyAlignment="1">
      <alignment horizontal="center" vertical="center" wrapText="1"/>
    </xf>
    <xf numFmtId="0" fontId="37" fillId="42" borderId="44" xfId="0" applyFont="1" applyFill="1" applyBorder="1" applyAlignment="1">
      <alignment horizontal="center" vertical="center" wrapText="1"/>
    </xf>
    <xf numFmtId="0" fontId="37" fillId="42" borderId="31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wrapText="1"/>
    </xf>
    <xf numFmtId="0" fontId="65" fillId="56" borderId="78" xfId="0" applyFont="1" applyFill="1" applyBorder="1" applyAlignment="1">
      <alignment horizontal="center"/>
    </xf>
    <xf numFmtId="0" fontId="55" fillId="0" borderId="36" xfId="0" applyFont="1" applyBorder="1" applyAlignment="1">
      <alignment horizontal="center"/>
    </xf>
    <xf numFmtId="0" fontId="55" fillId="0" borderId="35" xfId="0" applyFont="1" applyBorder="1" applyAlignment="1">
      <alignment horizontal="center"/>
    </xf>
    <xf numFmtId="0" fontId="55" fillId="0" borderId="11" xfId="0" applyFont="1" applyBorder="1" applyAlignment="1">
      <alignment horizontal="center"/>
    </xf>
    <xf numFmtId="17" fontId="37" fillId="50" borderId="36" xfId="0" applyNumberFormat="1" applyFont="1" applyFill="1" applyBorder="1" applyAlignment="1">
      <alignment horizontal="center"/>
    </xf>
    <xf numFmtId="17" fontId="37" fillId="50" borderId="35" xfId="0" applyNumberFormat="1" applyFont="1" applyFill="1" applyBorder="1" applyAlignment="1">
      <alignment horizontal="center"/>
    </xf>
    <xf numFmtId="17" fontId="37" fillId="50" borderId="11" xfId="0" applyNumberFormat="1" applyFont="1" applyFill="1" applyBorder="1" applyAlignment="1">
      <alignment horizontal="center"/>
    </xf>
    <xf numFmtId="0" fontId="12" fillId="51" borderId="35" xfId="0" applyFont="1" applyFill="1" applyBorder="1" applyAlignment="1">
      <alignment horizontal="center"/>
    </xf>
    <xf numFmtId="0" fontId="23" fillId="52" borderId="18" xfId="0" applyFont="1" applyFill="1" applyBorder="1" applyAlignment="1">
      <alignment horizontal="center" vertical="center" wrapText="1"/>
    </xf>
    <xf numFmtId="0" fontId="23" fillId="52" borderId="34" xfId="0" applyFont="1" applyFill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65" fillId="56" borderId="93" xfId="0" applyFont="1" applyFill="1" applyBorder="1" applyAlignment="1">
      <alignment horizontal="center"/>
    </xf>
    <xf numFmtId="0" fontId="65" fillId="56" borderId="108" xfId="0" applyFont="1" applyFill="1" applyBorder="1" applyAlignment="1">
      <alignment horizontal="center"/>
    </xf>
    <xf numFmtId="0" fontId="65" fillId="56" borderId="39" xfId="0" applyFont="1" applyFill="1" applyBorder="1" applyAlignment="1">
      <alignment horizontal="center"/>
    </xf>
    <xf numFmtId="0" fontId="0" fillId="42" borderId="36" xfId="0" applyFill="1" applyBorder="1" applyAlignment="1">
      <alignment horizontal="center"/>
    </xf>
    <xf numFmtId="0" fontId="0" fillId="42" borderId="35" xfId="0" applyFill="1" applyBorder="1" applyAlignment="1">
      <alignment horizontal="center"/>
    </xf>
    <xf numFmtId="0" fontId="0" fillId="42" borderId="11" xfId="0" applyFill="1" applyBorder="1" applyAlignment="1">
      <alignment horizontal="center"/>
    </xf>
    <xf numFmtId="0" fontId="12" fillId="51" borderId="32" xfId="0" applyFont="1" applyFill="1" applyBorder="1" applyAlignment="1">
      <alignment horizontal="center"/>
    </xf>
    <xf numFmtId="0" fontId="23" fillId="52" borderId="22" xfId="0" applyFont="1" applyFill="1" applyBorder="1" applyAlignment="1">
      <alignment horizontal="center" vertical="center" wrapText="1"/>
    </xf>
    <xf numFmtId="0" fontId="65" fillId="56" borderId="127" xfId="0" applyFont="1" applyFill="1" applyBorder="1" applyAlignment="1">
      <alignment horizontal="center"/>
    </xf>
    <xf numFmtId="0" fontId="0" fillId="42" borderId="19" xfId="0" applyFill="1" applyBorder="1" applyAlignment="1">
      <alignment horizontal="center"/>
    </xf>
    <xf numFmtId="0" fontId="41" fillId="0" borderId="0" xfId="0" applyFont="1" applyAlignment="1">
      <alignment horizontal="left" vertical="center"/>
    </xf>
    <xf numFmtId="4" fontId="24" fillId="45" borderId="22" xfId="0" applyNumberFormat="1" applyFont="1" applyFill="1" applyBorder="1" applyAlignment="1">
      <alignment horizontal="right"/>
    </xf>
    <xf numFmtId="4" fontId="24" fillId="0" borderId="47" xfId="0" applyNumberFormat="1" applyFont="1" applyBorder="1" applyAlignment="1">
      <alignment horizontal="left"/>
    </xf>
    <xf numFmtId="4" fontId="24" fillId="0" borderId="32" xfId="0" applyNumberFormat="1" applyFont="1" applyBorder="1" applyAlignment="1">
      <alignment horizontal="left"/>
    </xf>
    <xf numFmtId="4" fontId="24" fillId="0" borderId="19" xfId="0" applyNumberFormat="1" applyFont="1" applyBorder="1" applyAlignment="1">
      <alignment horizontal="left"/>
    </xf>
    <xf numFmtId="4" fontId="24" fillId="0" borderId="36" xfId="0" applyNumberFormat="1" applyFont="1" applyBorder="1" applyAlignment="1">
      <alignment horizontal="left"/>
    </xf>
    <xf numFmtId="4" fontId="24" fillId="0" borderId="35" xfId="0" applyNumberFormat="1" applyFont="1" applyBorder="1" applyAlignment="1">
      <alignment horizontal="left"/>
    </xf>
    <xf numFmtId="4" fontId="24" fillId="0" borderId="11" xfId="0" applyNumberFormat="1" applyFont="1" applyBorder="1" applyAlignment="1">
      <alignment horizontal="left"/>
    </xf>
    <xf numFmtId="4" fontId="53" fillId="0" borderId="36" xfId="0" applyNumberFormat="1" applyFont="1" applyBorder="1" applyAlignment="1">
      <alignment horizontal="left"/>
    </xf>
    <xf numFmtId="4" fontId="53" fillId="0" borderId="35" xfId="0" applyNumberFormat="1" applyFont="1" applyBorder="1" applyAlignment="1">
      <alignment horizontal="left"/>
    </xf>
    <xf numFmtId="4" fontId="53" fillId="0" borderId="11" xfId="0" applyNumberFormat="1" applyFont="1" applyBorder="1" applyAlignment="1">
      <alignment horizontal="left"/>
    </xf>
    <xf numFmtId="0" fontId="46" fillId="55" borderId="47" xfId="0" applyFont="1" applyFill="1" applyBorder="1" applyAlignment="1">
      <alignment horizontal="center" vertical="center" wrapText="1"/>
    </xf>
    <xf numFmtId="0" fontId="46" fillId="55" borderId="32" xfId="0" applyFont="1" applyFill="1" applyBorder="1" applyAlignment="1">
      <alignment horizontal="center" vertical="center" wrapText="1"/>
    </xf>
    <xf numFmtId="0" fontId="46" fillId="55" borderId="112" xfId="0" applyFont="1" applyFill="1" applyBorder="1" applyAlignment="1">
      <alignment horizontal="center" vertical="center" wrapText="1"/>
    </xf>
    <xf numFmtId="0" fontId="46" fillId="55" borderId="44" xfId="0" applyFont="1" applyFill="1" applyBorder="1" applyAlignment="1">
      <alignment horizontal="center" vertical="center" wrapText="1"/>
    </xf>
    <xf numFmtId="0" fontId="46" fillId="55" borderId="31" xfId="0" applyFont="1" applyFill="1" applyBorder="1" applyAlignment="1">
      <alignment horizontal="center" vertical="center" wrapText="1"/>
    </xf>
    <xf numFmtId="0" fontId="46" fillId="55" borderId="113" xfId="0" applyFont="1" applyFill="1" applyBorder="1" applyAlignment="1">
      <alignment horizontal="center" vertical="center" wrapText="1"/>
    </xf>
    <xf numFmtId="14" fontId="18" fillId="34" borderId="82" xfId="0" applyNumberFormat="1" applyFont="1" applyFill="1" applyBorder="1" applyAlignment="1">
      <alignment horizontal="justify" vertical="center" wrapText="1"/>
    </xf>
    <xf numFmtId="0" fontId="18" fillId="34" borderId="78" xfId="0" applyFont="1" applyFill="1" applyBorder="1" applyAlignment="1">
      <alignment horizontal="justify" vertical="center" wrapText="1"/>
    </xf>
    <xf numFmtId="0" fontId="18" fillId="0" borderId="83" xfId="0" applyFont="1" applyBorder="1" applyAlignment="1">
      <alignment horizontal="right" vertical="center"/>
    </xf>
    <xf numFmtId="0" fontId="26" fillId="0" borderId="36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44" fillId="38" borderId="36" xfId="0" applyFont="1" applyFill="1" applyBorder="1" applyAlignment="1">
      <alignment horizontal="center" vertical="center" wrapText="1"/>
    </xf>
    <xf numFmtId="0" fontId="44" fillId="38" borderId="11" xfId="0" applyFont="1" applyFill="1" applyBorder="1" applyAlignment="1">
      <alignment horizontal="center" vertical="center" wrapText="1"/>
    </xf>
    <xf numFmtId="0" fontId="44" fillId="38" borderId="18" xfId="0" applyFont="1" applyFill="1" applyBorder="1" applyAlignment="1">
      <alignment horizontal="center" vertical="center" wrapText="1"/>
    </xf>
    <xf numFmtId="0" fontId="44" fillId="38" borderId="22" xfId="0" applyFont="1" applyFill="1" applyBorder="1" applyAlignment="1">
      <alignment horizontal="center" vertical="center" wrapText="1"/>
    </xf>
    <xf numFmtId="0" fontId="44" fillId="38" borderId="12" xfId="0" applyFont="1" applyFill="1" applyBorder="1" applyAlignment="1">
      <alignment horizontal="center" vertical="center" wrapText="1"/>
    </xf>
    <xf numFmtId="0" fontId="44" fillId="38" borderId="18" xfId="0" applyFont="1" applyFill="1" applyBorder="1" applyAlignment="1">
      <alignment horizontal="center" vertical="center"/>
    </xf>
    <xf numFmtId="0" fontId="44" fillId="38" borderId="22" xfId="0" applyFont="1" applyFill="1" applyBorder="1" applyAlignment="1">
      <alignment horizontal="center" vertical="center"/>
    </xf>
    <xf numFmtId="0" fontId="44" fillId="38" borderId="12" xfId="0" applyFont="1" applyFill="1" applyBorder="1" applyAlignment="1">
      <alignment horizontal="center" vertical="center"/>
    </xf>
    <xf numFmtId="0" fontId="44" fillId="38" borderId="47" xfId="0" applyFont="1" applyFill="1" applyBorder="1" applyAlignment="1">
      <alignment horizontal="center" vertical="center" wrapText="1"/>
    </xf>
    <xf numFmtId="0" fontId="44" fillId="38" borderId="32" xfId="0" applyFont="1" applyFill="1" applyBorder="1" applyAlignment="1">
      <alignment horizontal="center" vertical="center" wrapText="1"/>
    </xf>
    <xf numFmtId="0" fontId="44" fillId="38" borderId="19" xfId="0" applyFont="1" applyFill="1" applyBorder="1" applyAlignment="1">
      <alignment horizontal="center" vertical="center" wrapText="1"/>
    </xf>
    <xf numFmtId="0" fontId="44" fillId="38" borderId="44" xfId="0" applyFont="1" applyFill="1" applyBorder="1" applyAlignment="1">
      <alignment horizontal="center" vertical="center" wrapText="1"/>
    </xf>
    <xf numFmtId="0" fontId="44" fillId="38" borderId="31" xfId="0" applyFont="1" applyFill="1" applyBorder="1" applyAlignment="1">
      <alignment horizontal="center" vertical="center" wrapText="1"/>
    </xf>
    <xf numFmtId="0" fontId="44" fillId="38" borderId="13" xfId="0" applyFont="1" applyFill="1" applyBorder="1" applyAlignment="1">
      <alignment horizontal="center" vertical="center" wrapText="1"/>
    </xf>
    <xf numFmtId="0" fontId="44" fillId="38" borderId="35" xfId="0" applyFont="1" applyFill="1" applyBorder="1" applyAlignment="1">
      <alignment horizontal="center" vertical="center" wrapText="1"/>
    </xf>
    <xf numFmtId="0" fontId="80" fillId="40" borderId="10" xfId="0" applyFont="1" applyFill="1" applyBorder="1" applyAlignment="1">
      <alignment horizontal="center" vertical="center"/>
    </xf>
    <xf numFmtId="0" fontId="80" fillId="40" borderId="11" xfId="0" applyFont="1" applyFill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8" fontId="81" fillId="0" borderId="13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vertical="center"/>
    </xf>
    <xf numFmtId="0" fontId="81" fillId="0" borderId="13" xfId="0" applyFont="1" applyBorder="1" applyAlignment="1">
      <alignment horizontal="center" vertical="center"/>
    </xf>
  </cellXfs>
  <cellStyles count="54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36"/>
    <cellStyle name="Comma 2 2" xfId="51"/>
    <cellStyle name="Comma 3" xfId="46"/>
    <cellStyle name="Comma 4" xfId="48"/>
    <cellStyle name="Comma 5" xfId="49"/>
    <cellStyle name="Comma 6" xfId="52"/>
    <cellStyle name="Comma 7" xfId="53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xcel Built-in Normal" xfId="44"/>
    <cellStyle name="Incorrecto" xfId="8" builtinId="27" customBuiltin="1"/>
    <cellStyle name="Millares" xfId="47" builtinId="3"/>
    <cellStyle name="Millares 2" xfId="50"/>
    <cellStyle name="Neutral 2" xfId="37"/>
    <cellStyle name="Normal" xfId="0" builtinId="0"/>
    <cellStyle name="Normal 2" xfId="45"/>
    <cellStyle name="Notas" xfId="15" builtinId="10" customBuiltin="1"/>
    <cellStyle name="Porcentaje" xfId="1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cordero\Documents\CONTABILIDAD%202024\EEFF%20CUARTO%20TRIMESTRE%202024\EEFF%20OCTUBRE\ASIENTOS%20DE%20OCTUBRE\DEPRECIACION%20%20OCTUBRE%20%202024%20asiento%2029225\Inventario%20Planta%20y%20Equipo%20con%20ajuste%20Octu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 Edificios y Terrenos 2024"/>
      <sheetName val="Invent MME 2024"/>
      <sheetName val="RESUMEN"/>
      <sheetName val="Gasto Octubre"/>
      <sheetName val="Valor 0"/>
    </sheetNames>
    <sheetDataSet>
      <sheetData sheetId="0"/>
      <sheetData sheetId="1"/>
      <sheetData sheetId="2">
        <row r="35">
          <cell r="C35">
            <v>4103203683.6524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0"/>
  <sheetViews>
    <sheetView topLeftCell="A37" zoomScaleNormal="100" workbookViewId="0">
      <selection activeCell="C32" sqref="C32"/>
    </sheetView>
  </sheetViews>
  <sheetFormatPr baseColWidth="10" defaultColWidth="9.140625" defaultRowHeight="15" x14ac:dyDescent="0.25"/>
  <cols>
    <col min="1" max="1" width="1.42578125" customWidth="1"/>
    <col min="2" max="2" width="15" customWidth="1"/>
    <col min="3" max="3" width="40" bestFit="1" customWidth="1"/>
    <col min="4" max="4" width="17.5703125" customWidth="1"/>
    <col min="5" max="5" width="17.7109375" customWidth="1"/>
    <col min="6" max="6" width="16.42578125" customWidth="1"/>
    <col min="7" max="7" width="10.85546875" bestFit="1" customWidth="1"/>
    <col min="8" max="8" width="1" customWidth="1"/>
    <col min="9" max="9" width="0.5703125" customWidth="1"/>
    <col min="10" max="10" width="6.42578125" style="68" bestFit="1" customWidth="1"/>
    <col min="11" max="11" width="14.42578125" style="68" customWidth="1"/>
    <col min="12" max="12" width="11.42578125" customWidth="1"/>
    <col min="13" max="13" width="11" customWidth="1"/>
    <col min="14" max="14" width="12.42578125" customWidth="1"/>
    <col min="15" max="15" width="11.85546875" customWidth="1"/>
    <col min="17" max="17" width="12.85546875" customWidth="1"/>
  </cols>
  <sheetData>
    <row r="1" spans="3:12" ht="15.75" thickBot="1" x14ac:dyDescent="0.3"/>
    <row r="2" spans="3:12" ht="15.75" thickBot="1" x14ac:dyDescent="0.3">
      <c r="C2" s="7" t="s">
        <v>27</v>
      </c>
      <c r="D2" s="124" t="s">
        <v>0</v>
      </c>
      <c r="E2" s="124" t="s">
        <v>1</v>
      </c>
      <c r="F2" s="125" t="s">
        <v>26</v>
      </c>
      <c r="G2" s="124" t="s">
        <v>25</v>
      </c>
    </row>
    <row r="3" spans="3:12" x14ac:dyDescent="0.25">
      <c r="C3" s="173" t="s">
        <v>3</v>
      </c>
      <c r="D3" s="174">
        <v>16475.238600000001</v>
      </c>
      <c r="E3" s="925">
        <v>982.10618999999997</v>
      </c>
      <c r="F3" s="175">
        <f>D3-E3</f>
        <v>15493.13241</v>
      </c>
      <c r="G3" s="14">
        <f>(D3-E3)/E3</f>
        <v>15.775414683008973</v>
      </c>
    </row>
    <row r="4" spans="3:12" x14ac:dyDescent="0.25">
      <c r="C4" s="176" t="s">
        <v>4</v>
      </c>
      <c r="D4" s="126">
        <v>9004.4766099999997</v>
      </c>
      <c r="E4" s="926">
        <v>10514.055900000001</v>
      </c>
      <c r="F4" s="171">
        <f>D4-E4</f>
        <v>-1509.5792900000015</v>
      </c>
      <c r="G4" s="15">
        <f t="shared" ref="G4:G10" si="0">(D4-E4)/E4</f>
        <v>-0.14357725547188704</v>
      </c>
    </row>
    <row r="5" spans="3:12" x14ac:dyDescent="0.25">
      <c r="C5" s="176" t="s">
        <v>5</v>
      </c>
      <c r="D5" s="172">
        <v>84304.970090000003</v>
      </c>
      <c r="E5" s="927">
        <v>12785.80291</v>
      </c>
      <c r="F5" s="171">
        <f t="shared" ref="F5:F9" si="1">D5-E5</f>
        <v>71519.167180000004</v>
      </c>
      <c r="G5" s="15">
        <f t="shared" si="0"/>
        <v>5.5936391076436518</v>
      </c>
    </row>
    <row r="6" spans="3:12" x14ac:dyDescent="0.25">
      <c r="C6" s="176" t="s">
        <v>6</v>
      </c>
      <c r="D6" s="172">
        <v>5122.8485899999996</v>
      </c>
      <c r="E6" s="927">
        <v>5122.8485899999996</v>
      </c>
      <c r="F6" s="171">
        <f t="shared" si="1"/>
        <v>0</v>
      </c>
      <c r="G6" s="15">
        <f t="shared" si="0"/>
        <v>0</v>
      </c>
    </row>
    <row r="7" spans="3:12" x14ac:dyDescent="0.25">
      <c r="C7" s="176" t="s">
        <v>7</v>
      </c>
      <c r="D7" s="172">
        <v>1.2167699999999999</v>
      </c>
      <c r="E7" s="927">
        <v>1.2167699999999999</v>
      </c>
      <c r="F7" s="171">
        <f t="shared" si="1"/>
        <v>0</v>
      </c>
      <c r="G7" s="15">
        <f t="shared" si="0"/>
        <v>0</v>
      </c>
    </row>
    <row r="8" spans="3:12" x14ac:dyDescent="0.25">
      <c r="C8" s="176" t="s">
        <v>8</v>
      </c>
      <c r="D8" s="172">
        <v>4620.6266900000001</v>
      </c>
      <c r="E8" s="927">
        <v>4058.5595499999999</v>
      </c>
      <c r="F8" s="171">
        <f>D8-E8</f>
        <v>562.06714000000011</v>
      </c>
      <c r="G8" s="15">
        <f t="shared" si="0"/>
        <v>0.13848931697946876</v>
      </c>
    </row>
    <row r="9" spans="3:12" ht="15.75" thickBot="1" x14ac:dyDescent="0.3">
      <c r="C9" s="177" t="s">
        <v>9</v>
      </c>
      <c r="D9" s="178">
        <v>58292.695039999999</v>
      </c>
      <c r="E9" s="928">
        <v>65172.969859999997</v>
      </c>
      <c r="F9" s="179">
        <f t="shared" si="1"/>
        <v>-6880.2748199999987</v>
      </c>
      <c r="G9" s="180">
        <f t="shared" si="0"/>
        <v>-0.10556945363667979</v>
      </c>
    </row>
    <row r="10" spans="3:12" s="396" customFormat="1" ht="17.25" thickBot="1" x14ac:dyDescent="0.35">
      <c r="C10" s="502" t="s">
        <v>10</v>
      </c>
      <c r="D10" s="280">
        <f>SUM(D3:D9)</f>
        <v>177822.07239000002</v>
      </c>
      <c r="E10" s="929">
        <f>SUM(E3:E9)</f>
        <v>98637.559769999993</v>
      </c>
      <c r="F10" s="287">
        <f>D10-E10</f>
        <v>79184.512620000023</v>
      </c>
      <c r="G10" s="197">
        <f t="shared" si="0"/>
        <v>0.80278255873969329</v>
      </c>
      <c r="J10" s="68"/>
      <c r="K10" s="68"/>
    </row>
    <row r="11" spans="3:12" ht="15.75" thickBot="1" x14ac:dyDescent="0.3"/>
    <row r="12" spans="3:12" ht="15.75" thickBot="1" x14ac:dyDescent="0.3">
      <c r="C12" s="7" t="s">
        <v>27</v>
      </c>
      <c r="D12" s="124" t="s">
        <v>0</v>
      </c>
      <c r="E12" s="124" t="s">
        <v>1</v>
      </c>
      <c r="F12" s="125" t="s">
        <v>26</v>
      </c>
      <c r="G12" s="124" t="s">
        <v>25</v>
      </c>
    </row>
    <row r="13" spans="3:12" ht="25.5" x14ac:dyDescent="0.25">
      <c r="C13" s="506" t="s">
        <v>12</v>
      </c>
      <c r="D13" s="507">
        <v>51444.270280000004</v>
      </c>
      <c r="E13" s="930">
        <v>56474.815409999996</v>
      </c>
      <c r="F13" s="508">
        <f>D13-E13</f>
        <v>-5030.5451299999913</v>
      </c>
      <c r="G13" s="509">
        <f>F13/E13</f>
        <v>-8.9075902125201681E-2</v>
      </c>
    </row>
    <row r="14" spans="3:12" ht="25.5" x14ac:dyDescent="0.25">
      <c r="C14" s="510" t="s">
        <v>13</v>
      </c>
      <c r="D14" s="511">
        <v>797602.55460999999</v>
      </c>
      <c r="E14" s="931">
        <v>855134.07236999995</v>
      </c>
      <c r="F14" s="512">
        <f t="shared" ref="F14:F19" si="2">D14-E14</f>
        <v>-57531.517759999959</v>
      </c>
      <c r="G14" s="513">
        <f t="shared" ref="G14:G19" si="3">F14/E14</f>
        <v>-6.7277775051754904E-2</v>
      </c>
      <c r="K14" s="18">
        <f>SUM(E5:E9)</f>
        <v>87141.397679999995</v>
      </c>
      <c r="L14" s="181">
        <f>+K14+E3</f>
        <v>88123.50387</v>
      </c>
    </row>
    <row r="15" spans="3:12" ht="25.5" x14ac:dyDescent="0.25">
      <c r="C15" s="510" t="s">
        <v>14</v>
      </c>
      <c r="D15" s="511">
        <v>29017.014800000001</v>
      </c>
      <c r="E15" s="931">
        <v>44917.699799999995</v>
      </c>
      <c r="F15" s="512">
        <f>D15-E15</f>
        <v>-15900.684999999994</v>
      </c>
      <c r="G15" s="513">
        <f t="shared" si="3"/>
        <v>-0.35399597643688774</v>
      </c>
      <c r="L15" s="4">
        <f>+L14-K14</f>
        <v>982.10619000000588</v>
      </c>
    </row>
    <row r="16" spans="3:12" x14ac:dyDescent="0.25">
      <c r="C16" s="510" t="s">
        <v>15</v>
      </c>
      <c r="D16" s="511">
        <v>0</v>
      </c>
      <c r="E16" s="931">
        <v>0</v>
      </c>
      <c r="F16" s="512">
        <f t="shared" si="2"/>
        <v>0</v>
      </c>
      <c r="G16" s="513" t="e">
        <f t="shared" si="3"/>
        <v>#DIV/0!</v>
      </c>
    </row>
    <row r="17" spans="2:17" ht="25.5" x14ac:dyDescent="0.25">
      <c r="C17" s="510" t="s">
        <v>16</v>
      </c>
      <c r="D17" s="511">
        <v>917.36759999999992</v>
      </c>
      <c r="E17" s="931">
        <v>5033.4317599999995</v>
      </c>
      <c r="F17" s="512">
        <f t="shared" si="2"/>
        <v>-4116.0641599999999</v>
      </c>
      <c r="G17" s="513">
        <f>F17/E17</f>
        <v>-0.81774510041236759</v>
      </c>
    </row>
    <row r="18" spans="2:17" ht="25.5" x14ac:dyDescent="0.25">
      <c r="C18" s="510" t="s">
        <v>17</v>
      </c>
      <c r="D18" s="511">
        <v>240022.41446999999</v>
      </c>
      <c r="E18" s="931">
        <v>0</v>
      </c>
      <c r="F18" s="512">
        <f t="shared" si="2"/>
        <v>240022.41446999999</v>
      </c>
      <c r="G18" s="513" t="e">
        <f t="shared" si="3"/>
        <v>#DIV/0!</v>
      </c>
    </row>
    <row r="19" spans="2:17" ht="26.25" thickBot="1" x14ac:dyDescent="0.3">
      <c r="C19" s="503" t="s">
        <v>18</v>
      </c>
      <c r="D19" s="504">
        <v>119778.16556000001</v>
      </c>
      <c r="E19" s="932">
        <v>92532.342560000005</v>
      </c>
      <c r="F19" s="505">
        <f t="shared" si="2"/>
        <v>27245.823000000004</v>
      </c>
      <c r="G19" s="514">
        <f t="shared" si="3"/>
        <v>0.29444648483132496</v>
      </c>
    </row>
    <row r="20" spans="2:17" ht="15.75" thickBot="1" x14ac:dyDescent="0.3">
      <c r="C20" s="515" t="s">
        <v>10</v>
      </c>
      <c r="D20" s="516">
        <f>SUM(D13:D19)</f>
        <v>1238781.7873200001</v>
      </c>
      <c r="E20" s="516">
        <f>SUM(E13:E19)</f>
        <v>1054092.3618999999</v>
      </c>
      <c r="F20" s="517">
        <f>D20-E20</f>
        <v>184689.42542000022</v>
      </c>
      <c r="G20" s="518">
        <f>(D20-E20)/E20</f>
        <v>0.17521180505197648</v>
      </c>
      <c r="K20" s="833"/>
    </row>
    <row r="21" spans="2:17" ht="15.75" thickBot="1" x14ac:dyDescent="0.3"/>
    <row r="22" spans="2:17" ht="15.75" thickBot="1" x14ac:dyDescent="0.3">
      <c r="C22" s="7" t="s">
        <v>27</v>
      </c>
      <c r="D22" s="1" t="s">
        <v>0</v>
      </c>
      <c r="E22" s="1" t="s">
        <v>1</v>
      </c>
      <c r="F22" s="11" t="s">
        <v>26</v>
      </c>
      <c r="G22" s="1" t="s">
        <v>25</v>
      </c>
    </row>
    <row r="23" spans="2:17" ht="15.75" thickBot="1" x14ac:dyDescent="0.3">
      <c r="C23" s="8" t="s">
        <v>21</v>
      </c>
      <c r="D23" s="12">
        <v>2250</v>
      </c>
      <c r="E23" s="12">
        <v>2250</v>
      </c>
      <c r="F23" s="12">
        <f>D23-E23</f>
        <v>0</v>
      </c>
      <c r="G23" s="6">
        <f>(D23-E23)/E23</f>
        <v>0</v>
      </c>
    </row>
    <row r="24" spans="2:17" ht="15.75" thickBot="1" x14ac:dyDescent="0.3">
      <c r="C24" s="2" t="s">
        <v>22</v>
      </c>
      <c r="D24" s="5">
        <v>1000</v>
      </c>
      <c r="E24" s="5">
        <v>1000</v>
      </c>
      <c r="F24" s="5">
        <f>D24-E24</f>
        <v>0</v>
      </c>
      <c r="G24" s="3">
        <f t="shared" ref="G24:G30" si="4">(D24-E24)/E24</f>
        <v>0</v>
      </c>
    </row>
    <row r="25" spans="2:17" ht="15.75" thickBot="1" x14ac:dyDescent="0.3">
      <c r="C25" s="9" t="s">
        <v>19</v>
      </c>
      <c r="D25" s="288">
        <f>SUM(D23:D24)</f>
        <v>3250</v>
      </c>
      <c r="E25" s="288">
        <f>SUM(E23:E24)</f>
        <v>3250</v>
      </c>
      <c r="F25" s="290">
        <f>SUM(F23:F24)</f>
        <v>0</v>
      </c>
      <c r="G25" s="289">
        <f t="shared" si="4"/>
        <v>0</v>
      </c>
    </row>
    <row r="26" spans="2:17" ht="17.45" customHeight="1" thickTop="1" x14ac:dyDescent="0.25">
      <c r="C26" s="122"/>
      <c r="D26" s="123"/>
      <c r="E26" s="123"/>
      <c r="F26" s="123"/>
      <c r="G26" s="13"/>
    </row>
    <row r="27" spans="2:17" ht="15.75" thickBot="1" x14ac:dyDescent="0.3">
      <c r="C27" s="119" t="s">
        <v>27</v>
      </c>
      <c r="D27" s="120" t="s">
        <v>0</v>
      </c>
      <c r="E27" s="120" t="s">
        <v>1</v>
      </c>
      <c r="F27" s="121" t="s">
        <v>26</v>
      </c>
      <c r="G27" s="120" t="s">
        <v>25</v>
      </c>
    </row>
    <row r="28" spans="2:17" ht="15.75" thickBot="1" x14ac:dyDescent="0.3">
      <c r="C28" s="2" t="s">
        <v>23</v>
      </c>
      <c r="D28" s="118">
        <v>323068.38408999995</v>
      </c>
      <c r="E28" s="118">
        <v>311014.7781</v>
      </c>
      <c r="F28" s="118">
        <f>D28-E28</f>
        <v>12053.605989999953</v>
      </c>
      <c r="G28" s="3">
        <f t="shared" si="4"/>
        <v>3.8755733935332097E-2</v>
      </c>
      <c r="I28" s="181" t="s">
        <v>20</v>
      </c>
      <c r="J28" s="395"/>
      <c r="K28" s="395"/>
      <c r="L28" s="834"/>
      <c r="M28" s="200"/>
      <c r="N28" s="200"/>
      <c r="O28" s="834"/>
      <c r="P28" s="4"/>
      <c r="Q28" s="181"/>
    </row>
    <row r="29" spans="2:17" ht="15.75" thickBot="1" x14ac:dyDescent="0.3">
      <c r="C29" s="2" t="s">
        <v>24</v>
      </c>
      <c r="D29" s="5">
        <v>322917.17255999998</v>
      </c>
      <c r="E29" s="5">
        <v>311048.17868000001</v>
      </c>
      <c r="F29" s="5">
        <f>D29-E29</f>
        <v>11868.993879999965</v>
      </c>
      <c r="G29" s="3">
        <f t="shared" si="4"/>
        <v>3.8158056190422333E-2</v>
      </c>
      <c r="I29" s="181" t="s">
        <v>20</v>
      </c>
      <c r="J29" s="395"/>
      <c r="K29" s="395"/>
      <c r="L29" s="834"/>
      <c r="M29" s="200"/>
      <c r="N29" s="200"/>
      <c r="O29" s="834"/>
      <c r="P29" s="4"/>
      <c r="Q29" s="181"/>
    </row>
    <row r="30" spans="2:17" ht="15.75" thickBot="1" x14ac:dyDescent="0.3">
      <c r="C30" s="9" t="s">
        <v>19</v>
      </c>
      <c r="D30" s="397">
        <f>D28+D29</f>
        <v>645985.55664999993</v>
      </c>
      <c r="E30" s="397">
        <f>E28+E29</f>
        <v>622062.95678000001</v>
      </c>
      <c r="F30" s="398">
        <f>SUM(F28:F29)</f>
        <v>23922.599869999918</v>
      </c>
      <c r="G30" s="399">
        <f t="shared" si="4"/>
        <v>3.8456879017247821E-2</v>
      </c>
      <c r="J30" s="395"/>
      <c r="K30" s="395"/>
      <c r="L30" s="834"/>
      <c r="M30" s="200"/>
      <c r="N30" s="200"/>
      <c r="O30" s="834"/>
      <c r="P30" s="4"/>
      <c r="Q30" s="181"/>
    </row>
    <row r="31" spans="2:17" ht="16.5" thickTop="1" thickBot="1" x14ac:dyDescent="0.3">
      <c r="D31" s="4" t="s">
        <v>20</v>
      </c>
      <c r="E31" s="4" t="s">
        <v>20</v>
      </c>
      <c r="F31" s="181"/>
      <c r="G31" s="181"/>
      <c r="J31" s="31"/>
      <c r="K31" s="31"/>
      <c r="L31" s="834"/>
      <c r="M31" s="835"/>
      <c r="N31" s="834"/>
      <c r="O31" s="200"/>
      <c r="Q31" s="181"/>
    </row>
    <row r="32" spans="2:17" ht="15.75" thickBot="1" x14ac:dyDescent="0.3">
      <c r="B32" s="7" t="s">
        <v>28</v>
      </c>
      <c r="C32" s="7" t="s">
        <v>44</v>
      </c>
      <c r="D32" s="124" t="s">
        <v>0</v>
      </c>
      <c r="E32" s="124" t="s">
        <v>1</v>
      </c>
      <c r="F32" s="125" t="s">
        <v>26</v>
      </c>
      <c r="G32" s="124" t="s">
        <v>25</v>
      </c>
      <c r="J32" s="31"/>
      <c r="K32" s="31"/>
      <c r="L32" s="836"/>
      <c r="M32" s="836"/>
      <c r="N32" s="200"/>
      <c r="O32" s="834"/>
    </row>
    <row r="33" spans="2:15" ht="15.75" thickBot="1" x14ac:dyDescent="0.3">
      <c r="B33" s="195" t="s">
        <v>223</v>
      </c>
      <c r="C33" s="196" t="s">
        <v>234</v>
      </c>
      <c r="D33" s="280">
        <f>D34+D35</f>
        <v>1416603.8597100002</v>
      </c>
      <c r="E33" s="280">
        <f>E34+E35</f>
        <v>1152729.9216699998</v>
      </c>
      <c r="F33" s="281">
        <f>D33-E33</f>
        <v>263873.93804000039</v>
      </c>
      <c r="G33" s="197">
        <f>F33/E33</f>
        <v>0.22891219623909567</v>
      </c>
      <c r="L33" s="836"/>
      <c r="M33" s="836"/>
      <c r="N33" s="200"/>
    </row>
    <row r="34" spans="2:15" x14ac:dyDescent="0.25">
      <c r="B34" s="189" t="s">
        <v>224</v>
      </c>
      <c r="C34" s="190" t="s">
        <v>225</v>
      </c>
      <c r="D34" s="282">
        <f>D10</f>
        <v>177822.07239000002</v>
      </c>
      <c r="E34" s="282">
        <v>98637.559769999993</v>
      </c>
      <c r="F34" s="283">
        <f t="shared" ref="F34:F40" si="5">D34-E34</f>
        <v>79184.512620000023</v>
      </c>
      <c r="G34" s="192">
        <f t="shared" ref="G34:G41" si="6">F34/E34</f>
        <v>0.80278255873969329</v>
      </c>
      <c r="L34" s="4"/>
    </row>
    <row r="35" spans="2:15" ht="15.75" thickBot="1" x14ac:dyDescent="0.3">
      <c r="B35" s="189" t="s">
        <v>226</v>
      </c>
      <c r="C35" s="190" t="s">
        <v>227</v>
      </c>
      <c r="D35" s="284">
        <f>D20</f>
        <v>1238781.7873200001</v>
      </c>
      <c r="E35" s="284">
        <v>1054092.3618999999</v>
      </c>
      <c r="F35" s="284">
        <f t="shared" si="5"/>
        <v>184689.42542000022</v>
      </c>
      <c r="G35" s="192">
        <f>F35/E35</f>
        <v>0.17521180505197648</v>
      </c>
    </row>
    <row r="36" spans="2:15" ht="15.75" thickBot="1" x14ac:dyDescent="0.3">
      <c r="B36" s="195" t="s">
        <v>230</v>
      </c>
      <c r="C36" s="196" t="s">
        <v>231</v>
      </c>
      <c r="D36" s="829">
        <f>+D37+D38</f>
        <v>3250</v>
      </c>
      <c r="E36" s="829">
        <f>+E37+E38</f>
        <v>3250</v>
      </c>
      <c r="F36" s="285">
        <f>D36-E36</f>
        <v>0</v>
      </c>
      <c r="G36" s="197">
        <f t="shared" si="6"/>
        <v>0</v>
      </c>
    </row>
    <row r="37" spans="2:15" x14ac:dyDescent="0.25">
      <c r="B37" s="189" t="s">
        <v>228</v>
      </c>
      <c r="C37" s="190" t="s">
        <v>229</v>
      </c>
      <c r="D37" s="831">
        <f>+D23</f>
        <v>2250</v>
      </c>
      <c r="E37" s="831">
        <v>2250</v>
      </c>
      <c r="F37" s="828">
        <v>0</v>
      </c>
      <c r="G37" s="192">
        <f t="shared" si="6"/>
        <v>0</v>
      </c>
    </row>
    <row r="38" spans="2:15" ht="15.75" thickBot="1" x14ac:dyDescent="0.3">
      <c r="B38" s="189" t="s">
        <v>236</v>
      </c>
      <c r="C38" s="190" t="s">
        <v>237</v>
      </c>
      <c r="D38" s="831">
        <f>+D24</f>
        <v>1000</v>
      </c>
      <c r="E38" s="831">
        <f>+E24</f>
        <v>1000</v>
      </c>
      <c r="F38" s="828">
        <f t="shared" si="5"/>
        <v>0</v>
      </c>
      <c r="G38" s="192">
        <f t="shared" si="6"/>
        <v>0</v>
      </c>
      <c r="K38" s="131" t="s">
        <v>679</v>
      </c>
    </row>
    <row r="39" spans="2:15" ht="15.75" thickBot="1" x14ac:dyDescent="0.3">
      <c r="B39" s="195" t="s">
        <v>232</v>
      </c>
      <c r="C39" s="198" t="s">
        <v>233</v>
      </c>
      <c r="D39" s="830">
        <f>D40</f>
        <v>645985.55664999993</v>
      </c>
      <c r="E39" s="830">
        <f>+E40</f>
        <v>622062.95678000001</v>
      </c>
      <c r="F39" s="285">
        <f t="shared" si="5"/>
        <v>23922.599869999918</v>
      </c>
      <c r="G39" s="197">
        <f t="shared" si="6"/>
        <v>3.8456879017247821E-2</v>
      </c>
    </row>
    <row r="40" spans="2:15" ht="15.75" thickBot="1" x14ac:dyDescent="0.3">
      <c r="B40" s="194" t="s">
        <v>235</v>
      </c>
      <c r="C40" s="191" t="s">
        <v>209</v>
      </c>
      <c r="D40" s="286">
        <f>D30</f>
        <v>645985.55664999993</v>
      </c>
      <c r="E40" s="286">
        <v>622062.95678000001</v>
      </c>
      <c r="F40" s="286">
        <f t="shared" si="5"/>
        <v>23922.599869999918</v>
      </c>
      <c r="G40" s="193">
        <f t="shared" si="6"/>
        <v>3.8456879017247821E-2</v>
      </c>
    </row>
    <row r="41" spans="2:15" ht="15.75" thickBot="1" x14ac:dyDescent="0.3">
      <c r="B41" s="981" t="s">
        <v>10</v>
      </c>
      <c r="C41" s="982"/>
      <c r="D41" s="845">
        <f>D33+D36+D39</f>
        <v>2065839.4163600001</v>
      </c>
      <c r="E41" s="280">
        <f>E33+E36+E39</f>
        <v>1778042.8784499997</v>
      </c>
      <c r="F41" s="287">
        <f>D41-E41</f>
        <v>287796.53791000042</v>
      </c>
      <c r="G41" s="197">
        <f t="shared" si="6"/>
        <v>0.16186141594115305</v>
      </c>
    </row>
    <row r="42" spans="2:15" x14ac:dyDescent="0.25">
      <c r="D42" s="4"/>
      <c r="E42" s="4" t="s">
        <v>20</v>
      </c>
    </row>
    <row r="43" spans="2:15" ht="15.75" thickBot="1" x14ac:dyDescent="0.3">
      <c r="D43" s="4"/>
      <c r="E43" s="4" t="s">
        <v>20</v>
      </c>
    </row>
    <row r="44" spans="2:15" x14ac:dyDescent="0.25">
      <c r="C44" s="7" t="s">
        <v>28</v>
      </c>
      <c r="D44" s="124" t="s">
        <v>0</v>
      </c>
      <c r="E44" s="124" t="s">
        <v>1</v>
      </c>
      <c r="F44" s="125" t="s">
        <v>26</v>
      </c>
      <c r="G44" s="124" t="s">
        <v>25</v>
      </c>
      <c r="O44" s="787"/>
    </row>
    <row r="45" spans="2:15" x14ac:dyDescent="0.25">
      <c r="C45" s="680" t="s">
        <v>616</v>
      </c>
      <c r="D45" s="681">
        <f>+D10</f>
        <v>177822.07239000002</v>
      </c>
      <c r="E45" s="681">
        <f>+E10</f>
        <v>98637.559769999993</v>
      </c>
      <c r="F45" s="681">
        <f>+D45-E45</f>
        <v>79184.512620000023</v>
      </c>
      <c r="G45" s="684">
        <f>+F45/E45</f>
        <v>0.80278255873969329</v>
      </c>
      <c r="O45" s="787"/>
    </row>
    <row r="46" spans="2:15" x14ac:dyDescent="0.25">
      <c r="C46" s="680" t="s">
        <v>617</v>
      </c>
      <c r="D46" s="681">
        <f>+D20</f>
        <v>1238781.7873200001</v>
      </c>
      <c r="E46" s="681">
        <f>+E20</f>
        <v>1054092.3618999999</v>
      </c>
      <c r="F46" s="681">
        <f t="shared" ref="F46:F49" si="7">+D46-E46</f>
        <v>184689.42542000022</v>
      </c>
      <c r="G46" s="684">
        <f t="shared" ref="G46:G49" si="8">+F46/E46</f>
        <v>0.17521180505197648</v>
      </c>
      <c r="O46" s="129"/>
    </row>
    <row r="47" spans="2:15" x14ac:dyDescent="0.25">
      <c r="C47" s="680" t="s">
        <v>618</v>
      </c>
      <c r="D47" s="681">
        <f>+D25</f>
        <v>3250</v>
      </c>
      <c r="E47" s="681">
        <f>+E25</f>
        <v>3250</v>
      </c>
      <c r="F47" s="681">
        <f t="shared" si="7"/>
        <v>0</v>
      </c>
      <c r="G47" s="684">
        <f t="shared" si="8"/>
        <v>0</v>
      </c>
    </row>
    <row r="48" spans="2:15" ht="30" x14ac:dyDescent="0.25">
      <c r="C48" s="682" t="s">
        <v>209</v>
      </c>
      <c r="D48" s="681">
        <f>+D30</f>
        <v>645985.55664999993</v>
      </c>
      <c r="E48" s="681">
        <f>+E30</f>
        <v>622062.95678000001</v>
      </c>
      <c r="F48" s="681">
        <f t="shared" si="7"/>
        <v>23922.599869999918</v>
      </c>
      <c r="G48" s="684">
        <f t="shared" si="8"/>
        <v>3.8456879017247821E-2</v>
      </c>
    </row>
    <row r="49" spans="3:7" x14ac:dyDescent="0.25">
      <c r="C49" s="680" t="s">
        <v>238</v>
      </c>
      <c r="D49" s="844">
        <f>SUM(D45:D48)</f>
        <v>2065839.4163600001</v>
      </c>
      <c r="E49" s="681">
        <f>SUM(E45:E48)</f>
        <v>1778042.8784499997</v>
      </c>
      <c r="F49" s="681">
        <f t="shared" si="7"/>
        <v>287796.53791000042</v>
      </c>
      <c r="G49" s="685">
        <f t="shared" si="8"/>
        <v>0.16186141594115305</v>
      </c>
    </row>
    <row r="50" spans="3:7" x14ac:dyDescent="0.25">
      <c r="D50" s="393"/>
    </row>
  </sheetData>
  <mergeCells count="1">
    <mergeCell ref="B41:C4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35"/>
  <sheetViews>
    <sheetView topLeftCell="A13" zoomScale="120" zoomScaleNormal="120" workbookViewId="0">
      <selection activeCell="O42" sqref="O42"/>
    </sheetView>
  </sheetViews>
  <sheetFormatPr baseColWidth="10" defaultColWidth="9.140625" defaultRowHeight="15" x14ac:dyDescent="0.25"/>
  <cols>
    <col min="1" max="1" width="1" customWidth="1"/>
    <col min="2" max="2" width="8.85546875" bestFit="1" customWidth="1"/>
    <col min="3" max="3" width="38.28515625" bestFit="1" customWidth="1"/>
    <col min="4" max="4" width="12.5703125" customWidth="1"/>
    <col min="5" max="5" width="12.85546875" customWidth="1"/>
    <col min="6" max="6" width="12" customWidth="1"/>
    <col min="7" max="7" width="8.85546875" bestFit="1" customWidth="1"/>
    <col min="8" max="8" width="14.5703125" bestFit="1" customWidth="1"/>
    <col min="9" max="9" width="9.5703125" bestFit="1" customWidth="1"/>
    <col min="10" max="10" width="13.5703125" bestFit="1" customWidth="1"/>
  </cols>
  <sheetData>
    <row r="1" spans="2:10" ht="24.75" thickBot="1" x14ac:dyDescent="0.3">
      <c r="B1" s="209" t="s">
        <v>63</v>
      </c>
      <c r="C1" s="210" t="s">
        <v>44</v>
      </c>
      <c r="D1" s="211" t="s">
        <v>76</v>
      </c>
      <c r="E1" s="211" t="s">
        <v>77</v>
      </c>
      <c r="F1" s="211" t="s">
        <v>26</v>
      </c>
      <c r="G1" s="212" t="s">
        <v>25</v>
      </c>
    </row>
    <row r="2" spans="2:10" x14ac:dyDescent="0.25">
      <c r="B2" s="213" t="s">
        <v>106</v>
      </c>
      <c r="C2" s="214" t="s">
        <v>107</v>
      </c>
      <c r="D2" s="215">
        <v>2256427.7856999999</v>
      </c>
      <c r="E2" s="128">
        <v>1901863.16347</v>
      </c>
      <c r="F2" s="216">
        <f>D2-E2</f>
        <v>354564.62222999986</v>
      </c>
      <c r="G2" s="217">
        <f>F2/E2</f>
        <v>0.18643014336693248</v>
      </c>
      <c r="I2" t="s">
        <v>20</v>
      </c>
      <c r="J2" t="s">
        <v>20</v>
      </c>
    </row>
    <row r="3" spans="2:10" ht="27" x14ac:dyDescent="0.25">
      <c r="B3" s="218" t="s">
        <v>108</v>
      </c>
      <c r="C3" s="219" t="s">
        <v>109</v>
      </c>
      <c r="D3" s="220">
        <v>160765498.08176002</v>
      </c>
      <c r="E3" s="128">
        <v>160765498.08176002</v>
      </c>
      <c r="F3" s="221">
        <f>D3-E3</f>
        <v>0</v>
      </c>
      <c r="G3" s="222">
        <f>F3/E3</f>
        <v>0</v>
      </c>
      <c r="H3" s="924" t="s">
        <v>681</v>
      </c>
      <c r="J3" s="683"/>
    </row>
    <row r="4" spans="2:10" x14ac:dyDescent="0.25">
      <c r="B4" s="218" t="s">
        <v>110</v>
      </c>
      <c r="C4" s="219" t="s">
        <v>626</v>
      </c>
      <c r="D4" s="221">
        <v>3986.2443900000003</v>
      </c>
      <c r="E4" s="128">
        <v>9827.5981400000001</v>
      </c>
      <c r="F4" s="221">
        <f>D4-E4</f>
        <v>-5841.3537500000002</v>
      </c>
      <c r="G4" s="222">
        <f>F4/E4</f>
        <v>-0.5943826423085713</v>
      </c>
      <c r="J4" s="181"/>
    </row>
    <row r="5" spans="2:10" ht="15.75" thickBot="1" x14ac:dyDescent="0.3">
      <c r="B5" s="223" t="s">
        <v>111</v>
      </c>
      <c r="C5" s="224" t="s">
        <v>112</v>
      </c>
      <c r="D5" s="225">
        <v>97579.147819999998</v>
      </c>
      <c r="E5" s="128">
        <v>77580.961049999998</v>
      </c>
      <c r="F5" s="226">
        <f>D5-E5</f>
        <v>19998.18677</v>
      </c>
      <c r="G5" s="222">
        <f>F5/E5</f>
        <v>0.25777183601929615</v>
      </c>
    </row>
    <row r="6" spans="2:10" ht="15.75" thickBot="1" x14ac:dyDescent="0.3">
      <c r="B6" s="227"/>
      <c r="C6" s="228" t="s">
        <v>10</v>
      </c>
      <c r="D6" s="229">
        <f>SUM(D2:D5)</f>
        <v>163123491.25967002</v>
      </c>
      <c r="E6" s="229">
        <f>SUM(E2:E5)</f>
        <v>162754769.80442002</v>
      </c>
      <c r="F6" s="229">
        <f>D6-E6</f>
        <v>368721.45524999499</v>
      </c>
      <c r="G6" s="230">
        <f>F6/E6</f>
        <v>2.265503221153408E-3</v>
      </c>
    </row>
    <row r="7" spans="2:10" x14ac:dyDescent="0.25">
      <c r="D7" s="4" t="s">
        <v>20</v>
      </c>
    </row>
    <row r="8" spans="2:10" x14ac:dyDescent="0.25">
      <c r="D8" s="4"/>
    </row>
    <row r="9" spans="2:10" x14ac:dyDescent="0.25">
      <c r="D9" s="4"/>
    </row>
    <row r="10" spans="2:10" x14ac:dyDescent="0.25">
      <c r="D10" s="4"/>
    </row>
    <row r="11" spans="2:10" x14ac:dyDescent="0.25">
      <c r="D11" s="4"/>
    </row>
    <row r="12" spans="2:10" x14ac:dyDescent="0.25">
      <c r="D12" s="4"/>
    </row>
    <row r="13" spans="2:10" x14ac:dyDescent="0.25">
      <c r="D13" s="4"/>
    </row>
    <row r="14" spans="2:10" x14ac:dyDescent="0.25">
      <c r="D14" s="4"/>
    </row>
    <row r="15" spans="2:10" x14ac:dyDescent="0.25">
      <c r="D15" s="4"/>
    </row>
    <row r="16" spans="2:10" x14ac:dyDescent="0.25">
      <c r="D16" s="4"/>
    </row>
    <row r="17" spans="2:12" x14ac:dyDescent="0.25">
      <c r="D17" s="4"/>
    </row>
    <row r="18" spans="2:12" x14ac:dyDescent="0.25">
      <c r="D18" s="4"/>
    </row>
    <row r="19" spans="2:12" x14ac:dyDescent="0.25">
      <c r="D19" s="4"/>
    </row>
    <row r="20" spans="2:12" x14ac:dyDescent="0.25">
      <c r="D20" s="4"/>
    </row>
    <row r="21" spans="2:12" ht="15.75" x14ac:dyDescent="0.25">
      <c r="B21" s="1025" t="s">
        <v>215</v>
      </c>
      <c r="C21" s="1025"/>
      <c r="D21" s="1025"/>
      <c r="E21" s="1025"/>
      <c r="F21" s="1025"/>
      <c r="H21" s="181"/>
    </row>
    <row r="22" spans="2:12" ht="15.75" thickBot="1" x14ac:dyDescent="0.3">
      <c r="B22" s="45" t="s">
        <v>63</v>
      </c>
      <c r="C22" s="46" t="s">
        <v>44</v>
      </c>
      <c r="D22" s="47" t="s">
        <v>11</v>
      </c>
    </row>
    <row r="23" spans="2:12" ht="15.75" thickBot="1" x14ac:dyDescent="0.3">
      <c r="B23" s="145" t="s">
        <v>214</v>
      </c>
      <c r="C23" s="146" t="s">
        <v>216</v>
      </c>
      <c r="D23" s="356">
        <v>3411.65</v>
      </c>
      <c r="E23" s="54">
        <v>1466</v>
      </c>
      <c r="F23" s="199">
        <f>D23+E23</f>
        <v>4877.6499999999996</v>
      </c>
      <c r="G23" s="199"/>
      <c r="I23" s="54"/>
      <c r="J23" s="54"/>
      <c r="K23" s="54"/>
      <c r="L23" s="54"/>
    </row>
    <row r="24" spans="2:12" ht="15" customHeight="1" x14ac:dyDescent="0.25">
      <c r="B24" s="48" t="s">
        <v>113</v>
      </c>
      <c r="C24" s="58" t="s">
        <v>114</v>
      </c>
      <c r="D24" s="357">
        <v>685.46</v>
      </c>
      <c r="E24" s="55"/>
      <c r="F24" s="55"/>
      <c r="G24" s="55"/>
      <c r="L24" s="54"/>
    </row>
    <row r="25" spans="2:12" ht="15" customHeight="1" x14ac:dyDescent="0.25">
      <c r="B25" s="49" t="s">
        <v>115</v>
      </c>
      <c r="C25" s="43" t="s">
        <v>116</v>
      </c>
      <c r="D25" s="357">
        <v>5304.74</v>
      </c>
      <c r="F25" s="55"/>
      <c r="G25" s="55"/>
      <c r="H25" s="55"/>
      <c r="I25" s="55"/>
      <c r="K25" s="54"/>
      <c r="L25" s="54"/>
    </row>
    <row r="26" spans="2:12" ht="15" customHeight="1" x14ac:dyDescent="0.25">
      <c r="B26" s="49" t="s">
        <v>117</v>
      </c>
      <c r="C26" s="43" t="s">
        <v>118</v>
      </c>
      <c r="D26" s="357">
        <v>14458.08</v>
      </c>
      <c r="E26" s="55"/>
      <c r="F26" s="55"/>
      <c r="G26" s="55"/>
      <c r="H26" s="55"/>
      <c r="J26" s="54"/>
      <c r="K26" s="54"/>
      <c r="L26" s="54"/>
    </row>
    <row r="27" spans="2:12" x14ac:dyDescent="0.25">
      <c r="B27" s="49" t="s">
        <v>119</v>
      </c>
      <c r="C27" s="43" t="s">
        <v>120</v>
      </c>
      <c r="D27" s="357">
        <v>3136.21</v>
      </c>
      <c r="E27" s="55"/>
      <c r="F27" s="55"/>
      <c r="G27" s="55"/>
      <c r="I27" s="54"/>
      <c r="J27" s="54"/>
      <c r="K27" s="54"/>
      <c r="L27" s="54"/>
    </row>
    <row r="28" spans="2:12" ht="24" customHeight="1" thickBot="1" x14ac:dyDescent="0.3">
      <c r="B28" s="52" t="s">
        <v>111</v>
      </c>
      <c r="C28" s="10" t="s">
        <v>112</v>
      </c>
      <c r="D28" s="358">
        <v>77580.961049999998</v>
      </c>
      <c r="E28" s="51">
        <v>25070.9</v>
      </c>
      <c r="F28" s="54">
        <f>D28-E28</f>
        <v>52510.061049999997</v>
      </c>
      <c r="G28" s="55"/>
      <c r="I28" s="54"/>
      <c r="J28" s="54"/>
      <c r="K28" s="54"/>
      <c r="L28" s="54"/>
    </row>
    <row r="29" spans="2:12" ht="15.75" thickBot="1" x14ac:dyDescent="0.3">
      <c r="B29" s="56"/>
      <c r="C29" s="57" t="s">
        <v>19</v>
      </c>
      <c r="D29" s="61">
        <f>SUM(D23:D28)</f>
        <v>104577.10105</v>
      </c>
      <c r="E29" s="53"/>
      <c r="F29" s="53">
        <v>52510.06</v>
      </c>
      <c r="G29" s="53"/>
      <c r="H29" s="53"/>
      <c r="I29" s="53"/>
      <c r="J29" s="53"/>
      <c r="K29" s="53"/>
      <c r="L29" s="53"/>
    </row>
    <row r="30" spans="2:12" ht="15.75" x14ac:dyDescent="0.25">
      <c r="B30" s="44"/>
    </row>
    <row r="31" spans="2:12" ht="16.5" thickBot="1" x14ac:dyDescent="0.3">
      <c r="B31" s="1025" t="s">
        <v>221</v>
      </c>
      <c r="C31" s="1025"/>
      <c r="D31" s="1025"/>
      <c r="E31" s="1025"/>
      <c r="F31" s="1025"/>
    </row>
    <row r="32" spans="2:12" ht="26.25" thickBot="1" x14ac:dyDescent="0.3">
      <c r="B32" s="150" t="s">
        <v>63</v>
      </c>
      <c r="C32" s="151" t="s">
        <v>44</v>
      </c>
      <c r="D32" s="152" t="s">
        <v>122</v>
      </c>
      <c r="E32" s="152" t="s">
        <v>220</v>
      </c>
      <c r="F32" s="153" t="s">
        <v>219</v>
      </c>
    </row>
    <row r="33" spans="2:12" ht="15" customHeight="1" x14ac:dyDescent="0.25">
      <c r="B33" s="48" t="s">
        <v>113</v>
      </c>
      <c r="C33" s="58" t="s">
        <v>217</v>
      </c>
      <c r="D33" s="359">
        <v>450000</v>
      </c>
      <c r="E33" s="147">
        <v>337500</v>
      </c>
      <c r="F33" s="59">
        <v>112500</v>
      </c>
      <c r="L33" s="54"/>
    </row>
    <row r="34" spans="2:12" ht="15" customHeight="1" thickBot="1" x14ac:dyDescent="0.3">
      <c r="B34" s="50" t="s">
        <v>115</v>
      </c>
      <c r="C34" s="154" t="s">
        <v>218</v>
      </c>
      <c r="D34" s="360">
        <v>91238</v>
      </c>
      <c r="E34" s="155">
        <v>48660.26666666667</v>
      </c>
      <c r="F34" s="60">
        <v>42577.73333333333</v>
      </c>
      <c r="G34" s="55"/>
      <c r="I34" s="55"/>
      <c r="K34" s="54"/>
      <c r="L34" s="54"/>
    </row>
    <row r="35" spans="2:12" ht="15.75" thickBot="1" x14ac:dyDescent="0.3">
      <c r="B35" s="56"/>
      <c r="C35" s="148" t="s">
        <v>19</v>
      </c>
      <c r="D35" s="149">
        <f>SUM(D33:D34)</f>
        <v>541238</v>
      </c>
      <c r="E35" s="149">
        <f t="shared" ref="E35:F35" si="0">SUM(E33:E34)</f>
        <v>386160.26666666666</v>
      </c>
      <c r="F35" s="149">
        <f t="shared" si="0"/>
        <v>155077.73333333334</v>
      </c>
      <c r="G35" s="53"/>
      <c r="I35" s="53"/>
      <c r="J35" s="53"/>
      <c r="K35" s="53"/>
      <c r="L35" s="53"/>
    </row>
  </sheetData>
  <mergeCells count="2">
    <mergeCell ref="B21:F21"/>
    <mergeCell ref="B31:F31"/>
  </mergeCells>
  <pageMargins left="0.7" right="0.7" top="0.75" bottom="0.75" header="0.3" footer="0.3"/>
  <pageSetup orientation="portrait" r:id="rId1"/>
  <ignoredErrors>
    <ignoredError sqref="G5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5"/>
  <sheetViews>
    <sheetView topLeftCell="A28" workbookViewId="0">
      <pane xSplit="1" topLeftCell="B1" activePane="topRight" state="frozen"/>
      <selection pane="topRight" activeCell="G7" sqref="G1:G1048576"/>
    </sheetView>
  </sheetViews>
  <sheetFormatPr baseColWidth="10" defaultColWidth="9.140625" defaultRowHeight="15" x14ac:dyDescent="0.25"/>
  <cols>
    <col min="1" max="1" width="37" bestFit="1" customWidth="1"/>
    <col min="4" max="4" width="14.85546875" bestFit="1" customWidth="1"/>
    <col min="5" max="5" width="11.5703125" customWidth="1"/>
    <col min="6" max="6" width="11.5703125" style="156" customWidth="1"/>
    <col min="7" max="7" width="11.42578125" customWidth="1"/>
    <col min="8" max="8" width="12.28515625" customWidth="1"/>
    <col min="9" max="9" width="11.5703125" style="156" customWidth="1"/>
    <col min="10" max="10" width="9.85546875" customWidth="1"/>
    <col min="11" max="11" width="12.5703125" customWidth="1"/>
    <col min="12" max="12" width="12.140625" customWidth="1"/>
    <col min="13" max="13" width="9.7109375" bestFit="1" customWidth="1"/>
    <col min="14" max="14" width="13.28515625" bestFit="1" customWidth="1"/>
    <col min="15" max="15" width="12.85546875" bestFit="1" customWidth="1"/>
  </cols>
  <sheetData>
    <row r="1" spans="1:15" ht="15.75" thickBot="1" x14ac:dyDescent="0.3"/>
    <row r="2" spans="1:15" ht="43.5" customHeight="1" thickBot="1" x14ac:dyDescent="0.3">
      <c r="A2" s="69" t="s">
        <v>136</v>
      </c>
      <c r="B2" s="70" t="s">
        <v>171</v>
      </c>
      <c r="C2" s="70" t="s">
        <v>172</v>
      </c>
      <c r="D2" s="70" t="s">
        <v>137</v>
      </c>
      <c r="E2" s="70" t="s">
        <v>139</v>
      </c>
      <c r="F2" s="70" t="s">
        <v>138</v>
      </c>
      <c r="G2" s="70" t="s">
        <v>137</v>
      </c>
      <c r="H2" s="70" t="s">
        <v>141</v>
      </c>
      <c r="I2" s="70" t="s">
        <v>140</v>
      </c>
      <c r="J2" s="70" t="s">
        <v>137</v>
      </c>
      <c r="K2" s="70" t="s">
        <v>142</v>
      </c>
      <c r="L2" s="70" t="s">
        <v>143</v>
      </c>
      <c r="M2" s="70" t="s">
        <v>137</v>
      </c>
    </row>
    <row r="3" spans="1:15" x14ac:dyDescent="0.25">
      <c r="A3" s="71" t="s">
        <v>144</v>
      </c>
      <c r="B3" s="661">
        <v>7</v>
      </c>
      <c r="C3" s="661">
        <v>7</v>
      </c>
      <c r="D3" s="159">
        <f>B3-C3</f>
        <v>0</v>
      </c>
      <c r="E3" s="662">
        <v>458013.35</v>
      </c>
      <c r="F3" s="662">
        <v>458013.35</v>
      </c>
      <c r="G3" s="79">
        <f>E3-F3</f>
        <v>0</v>
      </c>
      <c r="H3" s="73">
        <v>0</v>
      </c>
      <c r="I3" s="67">
        <v>0</v>
      </c>
      <c r="J3" s="79">
        <f>H3-I3</f>
        <v>0</v>
      </c>
      <c r="K3" s="73">
        <f>E3-H3</f>
        <v>458013.35</v>
      </c>
      <c r="L3" s="73">
        <f>F3-I3</f>
        <v>458013.35</v>
      </c>
      <c r="M3" s="79">
        <f>K3-L3</f>
        <v>0</v>
      </c>
    </row>
    <row r="4" spans="1:15" x14ac:dyDescent="0.25">
      <c r="A4" s="71" t="s">
        <v>145</v>
      </c>
      <c r="B4" s="661">
        <v>10</v>
      </c>
      <c r="C4" s="661">
        <v>9</v>
      </c>
      <c r="D4" s="159">
        <f t="shared" ref="D4:D33" si="0">B4-C4</f>
        <v>1</v>
      </c>
      <c r="E4" s="662">
        <v>840396.07311</v>
      </c>
      <c r="F4" s="662">
        <v>812215.69</v>
      </c>
      <c r="G4" s="79">
        <f t="shared" ref="G4:G33" si="1">E4-F4</f>
        <v>28180.383110000053</v>
      </c>
      <c r="H4" s="73">
        <v>53825.186520215539</v>
      </c>
      <c r="I4" s="67">
        <v>294050.43</v>
      </c>
      <c r="J4" s="79">
        <f t="shared" ref="J4:J33" si="2">H4-I4</f>
        <v>-240225.24347978446</v>
      </c>
      <c r="K4" s="73">
        <f>E4-H4</f>
        <v>786570.88658978441</v>
      </c>
      <c r="L4" s="73">
        <f t="shared" ref="L4:L33" si="3">F4-I4</f>
        <v>518165.25999999995</v>
      </c>
      <c r="M4" s="79">
        <f>K4-L4</f>
        <v>268405.62658978446</v>
      </c>
    </row>
    <row r="5" spans="1:15" x14ac:dyDescent="0.25">
      <c r="A5" s="71" t="s">
        <v>146</v>
      </c>
      <c r="B5" s="661">
        <v>33</v>
      </c>
      <c r="C5" s="661">
        <v>30</v>
      </c>
      <c r="D5" s="159">
        <f t="shared" si="0"/>
        <v>3</v>
      </c>
      <c r="E5" s="662">
        <v>2273686.99596</v>
      </c>
      <c r="F5" s="662">
        <v>2005380.77</v>
      </c>
      <c r="G5" s="79">
        <f t="shared" si="1"/>
        <v>268306.22595999995</v>
      </c>
      <c r="H5" s="67">
        <v>1438667.6868473808</v>
      </c>
      <c r="I5" s="67">
        <v>1229439.55</v>
      </c>
      <c r="J5" s="79">
        <f t="shared" si="2"/>
        <v>209228.13684738078</v>
      </c>
      <c r="K5" s="73">
        <f t="shared" ref="K5:K33" si="4">E5-H5</f>
        <v>835019.30911261914</v>
      </c>
      <c r="L5" s="73">
        <f>F5-I5</f>
        <v>775941.22</v>
      </c>
      <c r="M5" s="79">
        <f t="shared" ref="M5:M33" si="5">K5-L5</f>
        <v>59078.089112619171</v>
      </c>
      <c r="N5" s="683"/>
      <c r="O5" s="4"/>
    </row>
    <row r="6" spans="1:15" x14ac:dyDescent="0.25">
      <c r="A6" s="71" t="s">
        <v>148</v>
      </c>
      <c r="B6" s="661">
        <v>7</v>
      </c>
      <c r="C6" s="661">
        <v>6</v>
      </c>
      <c r="D6" s="159">
        <f t="shared" si="0"/>
        <v>1</v>
      </c>
      <c r="E6" s="662">
        <v>6734.8987324999998</v>
      </c>
      <c r="F6" s="662">
        <v>6452.3987300000008</v>
      </c>
      <c r="G6" s="79">
        <f t="shared" si="1"/>
        <v>282.50000249999903</v>
      </c>
      <c r="H6" s="73">
        <v>6370.4944064583333</v>
      </c>
      <c r="I6" s="67">
        <v>5736.01</v>
      </c>
      <c r="J6" s="79">
        <f>H6-I6</f>
        <v>634.48440645833307</v>
      </c>
      <c r="K6" s="73">
        <f>E6-H6</f>
        <v>364.40432604166654</v>
      </c>
      <c r="L6" s="73">
        <f t="shared" si="3"/>
        <v>716.38873000000058</v>
      </c>
      <c r="M6" s="79">
        <f t="shared" si="5"/>
        <v>-351.98440395833404</v>
      </c>
    </row>
    <row r="7" spans="1:15" x14ac:dyDescent="0.25">
      <c r="A7" s="74" t="s">
        <v>149</v>
      </c>
      <c r="B7" s="661">
        <v>12</v>
      </c>
      <c r="C7" s="661">
        <v>12</v>
      </c>
      <c r="D7" s="159">
        <f t="shared" si="0"/>
        <v>0</v>
      </c>
      <c r="E7" s="662">
        <v>7392.8029999999999</v>
      </c>
      <c r="F7" s="662">
        <v>7392.8</v>
      </c>
      <c r="G7" s="79">
        <f t="shared" si="1"/>
        <v>2.9999999997016857E-3</v>
      </c>
      <c r="H7" s="73">
        <v>2476.4039141666672</v>
      </c>
      <c r="I7" s="67">
        <v>1772.46</v>
      </c>
      <c r="J7" s="79">
        <f t="shared" ref="J7" si="6">H7-I7</f>
        <v>703.94391416666713</v>
      </c>
      <c r="K7" s="73">
        <f t="shared" ref="K7:K8" si="7">E7-H7</f>
        <v>4916.3990858333327</v>
      </c>
      <c r="L7" s="73">
        <f t="shared" si="3"/>
        <v>5620.34</v>
      </c>
      <c r="M7" s="79">
        <f t="shared" si="5"/>
        <v>-703.94091416666743</v>
      </c>
    </row>
    <row r="8" spans="1:15" x14ac:dyDescent="0.25">
      <c r="A8" s="71" t="s">
        <v>147</v>
      </c>
      <c r="B8" s="661">
        <v>2</v>
      </c>
      <c r="C8" s="661">
        <v>2</v>
      </c>
      <c r="D8" s="159">
        <f t="shared" si="0"/>
        <v>0</v>
      </c>
      <c r="E8" s="662">
        <v>280.05799999999999</v>
      </c>
      <c r="F8" s="662">
        <v>280.05799999999999</v>
      </c>
      <c r="G8" s="79">
        <f t="shared" si="1"/>
        <v>0</v>
      </c>
      <c r="H8" s="73">
        <v>117.82136666666666</v>
      </c>
      <c r="I8" s="67">
        <v>96.66</v>
      </c>
      <c r="J8" s="79">
        <f>H8-I8</f>
        <v>21.161366666666666</v>
      </c>
      <c r="K8" s="73">
        <f t="shared" si="7"/>
        <v>162.23663333333332</v>
      </c>
      <c r="L8" s="73">
        <f t="shared" si="3"/>
        <v>183.398</v>
      </c>
      <c r="M8" s="79">
        <f t="shared" si="5"/>
        <v>-21.16136666666668</v>
      </c>
    </row>
    <row r="9" spans="1:15" x14ac:dyDescent="0.25">
      <c r="A9" s="71" t="s">
        <v>150</v>
      </c>
      <c r="B9" s="661">
        <v>70</v>
      </c>
      <c r="C9" s="661">
        <v>49</v>
      </c>
      <c r="D9" s="159">
        <f t="shared" si="0"/>
        <v>21</v>
      </c>
      <c r="E9" s="662">
        <v>42717.604499999994</v>
      </c>
      <c r="F9" s="662">
        <v>34130.25</v>
      </c>
      <c r="G9" s="79">
        <f t="shared" si="1"/>
        <v>8587.354499999994</v>
      </c>
      <c r="H9" s="73">
        <v>17896.861211888885</v>
      </c>
      <c r="I9" s="67">
        <v>12176.81</v>
      </c>
      <c r="J9" s="79">
        <f t="shared" si="2"/>
        <v>5720.0512118888855</v>
      </c>
      <c r="K9" s="73">
        <f t="shared" si="4"/>
        <v>24820.743288111109</v>
      </c>
      <c r="L9" s="73">
        <f t="shared" si="3"/>
        <v>21953.440000000002</v>
      </c>
      <c r="M9" s="79">
        <f t="shared" si="5"/>
        <v>2867.3032881111067</v>
      </c>
    </row>
    <row r="10" spans="1:15" x14ac:dyDescent="0.25">
      <c r="A10" s="71" t="s">
        <v>151</v>
      </c>
      <c r="B10" s="661">
        <v>2</v>
      </c>
      <c r="C10" s="661">
        <v>2</v>
      </c>
      <c r="D10" s="159">
        <f t="shared" si="0"/>
        <v>0</v>
      </c>
      <c r="E10" s="662">
        <v>5189.6848</v>
      </c>
      <c r="F10" s="662">
        <v>5189.6848</v>
      </c>
      <c r="G10" s="79">
        <f t="shared" si="1"/>
        <v>0</v>
      </c>
      <c r="H10" s="73">
        <v>2006.7749422222223</v>
      </c>
      <c r="I10" s="67">
        <v>1660.8</v>
      </c>
      <c r="J10" s="79">
        <f t="shared" si="2"/>
        <v>345.97494222222235</v>
      </c>
      <c r="K10" s="73">
        <f t="shared" si="4"/>
        <v>3182.9098577777777</v>
      </c>
      <c r="L10" s="73">
        <f t="shared" si="3"/>
        <v>3528.8847999999998</v>
      </c>
      <c r="M10" s="79">
        <f t="shared" si="5"/>
        <v>-345.97494222222213</v>
      </c>
    </row>
    <row r="11" spans="1:15" x14ac:dyDescent="0.25">
      <c r="A11" s="71" t="s">
        <v>210</v>
      </c>
      <c r="B11" s="661">
        <v>4</v>
      </c>
      <c r="C11" s="661">
        <v>4</v>
      </c>
      <c r="D11" s="159">
        <f t="shared" si="0"/>
        <v>0</v>
      </c>
      <c r="E11" s="662">
        <v>10870.894</v>
      </c>
      <c r="F11" s="662">
        <v>10870.89</v>
      </c>
      <c r="G11" s="79">
        <f t="shared" si="1"/>
        <v>4.0000000008149073E-3</v>
      </c>
      <c r="H11" s="73">
        <v>9858.5840000000007</v>
      </c>
      <c r="I11" s="67">
        <v>9411.8700000000008</v>
      </c>
      <c r="J11" s="79">
        <f t="shared" si="2"/>
        <v>446.71399999999994</v>
      </c>
      <c r="K11" s="73">
        <f t="shared" si="4"/>
        <v>1012.3099999999995</v>
      </c>
      <c r="L11" s="73">
        <f t="shared" si="3"/>
        <v>1459.0199999999986</v>
      </c>
      <c r="M11" s="79">
        <f t="shared" si="5"/>
        <v>-446.70999999999913</v>
      </c>
    </row>
    <row r="12" spans="1:15" x14ac:dyDescent="0.25">
      <c r="A12" s="71" t="s">
        <v>130</v>
      </c>
      <c r="B12" s="661">
        <v>13</v>
      </c>
      <c r="C12" s="661">
        <v>11</v>
      </c>
      <c r="D12" s="159">
        <f t="shared" si="0"/>
        <v>2</v>
      </c>
      <c r="E12" s="662">
        <v>209189.09974999999</v>
      </c>
      <c r="F12" s="662">
        <v>159744.47</v>
      </c>
      <c r="G12" s="79">
        <f t="shared" si="1"/>
        <v>49444.629749999993</v>
      </c>
      <c r="H12" s="73">
        <v>164353.73028333334</v>
      </c>
      <c r="I12" s="67">
        <v>125612.58</v>
      </c>
      <c r="J12" s="79">
        <f t="shared" si="2"/>
        <v>38741.150283333336</v>
      </c>
      <c r="K12" s="73">
        <f t="shared" si="4"/>
        <v>44835.369466666656</v>
      </c>
      <c r="L12" s="73">
        <f t="shared" si="3"/>
        <v>34131.89</v>
      </c>
      <c r="M12" s="79">
        <f t="shared" si="5"/>
        <v>10703.479466666657</v>
      </c>
    </row>
    <row r="13" spans="1:15" x14ac:dyDescent="0.25">
      <c r="A13" s="71" t="s">
        <v>152</v>
      </c>
      <c r="B13" s="661">
        <v>1</v>
      </c>
      <c r="C13" s="661">
        <v>1</v>
      </c>
      <c r="D13" s="159">
        <f t="shared" si="0"/>
        <v>0</v>
      </c>
      <c r="E13" s="662">
        <v>685.45825000000002</v>
      </c>
      <c r="F13" s="662">
        <v>685.45</v>
      </c>
      <c r="G13" s="79">
        <f t="shared" si="1"/>
        <v>8.2499999999754436E-3</v>
      </c>
      <c r="H13" s="73">
        <v>125.66734583333334</v>
      </c>
      <c r="I13" s="67">
        <v>57.12</v>
      </c>
      <c r="J13" s="79">
        <f t="shared" si="2"/>
        <v>68.547345833333338</v>
      </c>
      <c r="K13" s="73">
        <f t="shared" si="4"/>
        <v>559.79090416666668</v>
      </c>
      <c r="L13" s="73">
        <f t="shared" si="3"/>
        <v>628.33000000000004</v>
      </c>
      <c r="M13" s="79">
        <f t="shared" si="5"/>
        <v>-68.539095833333363</v>
      </c>
    </row>
    <row r="14" spans="1:15" x14ac:dyDescent="0.25">
      <c r="A14" s="71" t="s">
        <v>678</v>
      </c>
      <c r="B14" s="661">
        <v>12</v>
      </c>
      <c r="C14" s="661">
        <v>10</v>
      </c>
      <c r="D14" s="159">
        <f t="shared" si="0"/>
        <v>2</v>
      </c>
      <c r="E14" s="662">
        <v>2389.8053599999998</v>
      </c>
      <c r="F14" s="662">
        <v>803.32535999999993</v>
      </c>
      <c r="G14" s="79">
        <f t="shared" si="1"/>
        <v>1586.48</v>
      </c>
      <c r="H14" s="73">
        <v>268.73048533333332</v>
      </c>
      <c r="I14" s="67">
        <v>182.99</v>
      </c>
      <c r="J14" s="79">
        <f t="shared" si="2"/>
        <v>85.740485333333311</v>
      </c>
      <c r="K14" s="73">
        <f t="shared" si="4"/>
        <v>2121.0748746666663</v>
      </c>
      <c r="L14" s="73">
        <f t="shared" si="3"/>
        <v>620.33535999999992</v>
      </c>
      <c r="M14" s="79">
        <f t="shared" si="5"/>
        <v>1500.7395146666663</v>
      </c>
    </row>
    <row r="15" spans="1:15" x14ac:dyDescent="0.25">
      <c r="A15" s="71" t="s">
        <v>154</v>
      </c>
      <c r="B15" s="661">
        <v>24</v>
      </c>
      <c r="C15" s="661">
        <v>24</v>
      </c>
      <c r="D15" s="159">
        <f t="shared" si="0"/>
        <v>0</v>
      </c>
      <c r="E15" s="662">
        <v>3458.1133</v>
      </c>
      <c r="F15" s="662">
        <v>3458.11</v>
      </c>
      <c r="G15" s="79">
        <f t="shared" si="1"/>
        <v>3.2999999998537533E-3</v>
      </c>
      <c r="H15" s="73">
        <v>2909.7769000000003</v>
      </c>
      <c r="I15" s="67">
        <v>2727</v>
      </c>
      <c r="J15" s="79">
        <f t="shared" si="2"/>
        <v>182.7769000000003</v>
      </c>
      <c r="K15" s="73">
        <f t="shared" si="4"/>
        <v>548.33639999999968</v>
      </c>
      <c r="L15" s="73">
        <f t="shared" si="3"/>
        <v>731.11000000000013</v>
      </c>
      <c r="M15" s="79">
        <f t="shared" si="5"/>
        <v>-182.77360000000044</v>
      </c>
    </row>
    <row r="16" spans="1:15" x14ac:dyDescent="0.25">
      <c r="A16" s="71" t="s">
        <v>155</v>
      </c>
      <c r="B16" s="661">
        <v>87</v>
      </c>
      <c r="C16" s="661">
        <v>85</v>
      </c>
      <c r="D16" s="159">
        <f t="shared" si="0"/>
        <v>2</v>
      </c>
      <c r="E16" s="662">
        <v>23129.7437703</v>
      </c>
      <c r="F16" s="662">
        <v>22576.099770000001</v>
      </c>
      <c r="G16" s="79">
        <f t="shared" si="1"/>
        <v>553.64400029999888</v>
      </c>
      <c r="H16" s="980">
        <v>12422.166531149993</v>
      </c>
      <c r="I16" s="67">
        <v>9867.27</v>
      </c>
      <c r="J16" s="79">
        <f t="shared" si="2"/>
        <v>2554.8965311499924</v>
      </c>
      <c r="K16" s="73">
        <f>E16-H16</f>
        <v>10707.577239150007</v>
      </c>
      <c r="L16" s="73">
        <f t="shared" si="3"/>
        <v>12708.82977</v>
      </c>
      <c r="M16" s="79">
        <f t="shared" si="5"/>
        <v>-2001.2525308499935</v>
      </c>
    </row>
    <row r="17" spans="1:14" x14ac:dyDescent="0.25">
      <c r="A17" s="71" t="s">
        <v>156</v>
      </c>
      <c r="B17" s="661">
        <v>1</v>
      </c>
      <c r="C17" s="661">
        <v>1</v>
      </c>
      <c r="D17" s="159">
        <f t="shared" si="0"/>
        <v>0</v>
      </c>
      <c r="E17" s="662">
        <v>5304.7359999999999</v>
      </c>
      <c r="F17" s="662">
        <v>5304.74</v>
      </c>
      <c r="G17" s="79">
        <f t="shared" si="1"/>
        <v>-3.9999999999054126E-3</v>
      </c>
      <c r="H17" s="73">
        <v>795.71039999999994</v>
      </c>
      <c r="I17" s="67">
        <v>265.24</v>
      </c>
      <c r="J17" s="79">
        <f t="shared" si="2"/>
        <v>530.47039999999993</v>
      </c>
      <c r="K17" s="73">
        <f t="shared" si="4"/>
        <v>4509.0255999999999</v>
      </c>
      <c r="L17" s="73">
        <f t="shared" si="3"/>
        <v>5039.5</v>
      </c>
      <c r="M17" s="79">
        <f t="shared" si="5"/>
        <v>-530.47440000000006</v>
      </c>
    </row>
    <row r="18" spans="1:14" x14ac:dyDescent="0.25">
      <c r="A18" s="71" t="s">
        <v>157</v>
      </c>
      <c r="B18" s="661">
        <v>134</v>
      </c>
      <c r="C18" s="661">
        <v>131</v>
      </c>
      <c r="D18" s="159">
        <f t="shared" si="0"/>
        <v>3</v>
      </c>
      <c r="E18" s="662">
        <v>17971.58527</v>
      </c>
      <c r="F18" s="662">
        <v>17592.36</v>
      </c>
      <c r="G18" s="79">
        <f t="shared" si="1"/>
        <v>379.225269999999</v>
      </c>
      <c r="H18" s="73">
        <v>12647.565409999999</v>
      </c>
      <c r="I18" s="67">
        <v>11349.07</v>
      </c>
      <c r="J18" s="79">
        <f t="shared" si="2"/>
        <v>1298.4954099999995</v>
      </c>
      <c r="K18" s="73">
        <f t="shared" si="4"/>
        <v>5324.0198600000003</v>
      </c>
      <c r="L18" s="73">
        <f t="shared" si="3"/>
        <v>6243.2900000000009</v>
      </c>
      <c r="M18" s="79">
        <f t="shared" si="5"/>
        <v>-919.27014000000054</v>
      </c>
    </row>
    <row r="19" spans="1:14" x14ac:dyDescent="0.25">
      <c r="A19" s="71" t="s">
        <v>158</v>
      </c>
      <c r="B19" s="661">
        <v>71</v>
      </c>
      <c r="C19" s="661">
        <v>59</v>
      </c>
      <c r="D19" s="159">
        <f t="shared" si="0"/>
        <v>12</v>
      </c>
      <c r="E19" s="662">
        <v>15362.167369999999</v>
      </c>
      <c r="F19" s="662">
        <v>12381.25</v>
      </c>
      <c r="G19" s="79">
        <f t="shared" si="1"/>
        <v>2980.9173699999992</v>
      </c>
      <c r="H19" s="73">
        <v>8037.2262589999964</v>
      </c>
      <c r="I19" s="67">
        <v>6683.04</v>
      </c>
      <c r="J19" s="79">
        <f t="shared" si="2"/>
        <v>1354.1862589999964</v>
      </c>
      <c r="K19" s="73">
        <f t="shared" si="4"/>
        <v>7324.9411110000028</v>
      </c>
      <c r="L19" s="73">
        <f t="shared" si="3"/>
        <v>5698.21</v>
      </c>
      <c r="M19" s="79">
        <f t="shared" si="5"/>
        <v>1626.7311110000028</v>
      </c>
    </row>
    <row r="20" spans="1:14" x14ac:dyDescent="0.25">
      <c r="A20" s="71" t="s">
        <v>159</v>
      </c>
      <c r="B20" s="661">
        <v>109</v>
      </c>
      <c r="C20" s="661">
        <v>99</v>
      </c>
      <c r="D20" s="159">
        <f t="shared" si="0"/>
        <v>10</v>
      </c>
      <c r="E20" s="662">
        <v>10704.672920000001</v>
      </c>
      <c r="F20" s="662">
        <v>9555.86</v>
      </c>
      <c r="G20" s="79">
        <f t="shared" si="1"/>
        <v>1148.8129200000003</v>
      </c>
      <c r="H20" s="73">
        <v>5753.5194036666617</v>
      </c>
      <c r="I20" s="67">
        <v>4883.71</v>
      </c>
      <c r="J20" s="79">
        <f t="shared" si="2"/>
        <v>869.80940366666164</v>
      </c>
      <c r="K20" s="73">
        <f t="shared" si="4"/>
        <v>4951.1535163333392</v>
      </c>
      <c r="L20" s="73">
        <f t="shared" si="3"/>
        <v>4672.1500000000005</v>
      </c>
      <c r="M20" s="79">
        <f t="shared" si="5"/>
        <v>279.00351633333867</v>
      </c>
    </row>
    <row r="21" spans="1:14" x14ac:dyDescent="0.25">
      <c r="A21" s="71" t="s">
        <v>160</v>
      </c>
      <c r="B21" s="661">
        <v>26</v>
      </c>
      <c r="C21" s="661">
        <v>22</v>
      </c>
      <c r="D21" s="159">
        <f t="shared" si="0"/>
        <v>4</v>
      </c>
      <c r="E21" s="662">
        <v>24505.955000000002</v>
      </c>
      <c r="F21" s="662">
        <v>19490.95</v>
      </c>
      <c r="G21" s="79">
        <f t="shared" si="1"/>
        <v>5015.005000000001</v>
      </c>
      <c r="H21" s="73">
        <v>11841.940833333334</v>
      </c>
      <c r="I21" s="67">
        <v>8728.94</v>
      </c>
      <c r="J21" s="79">
        <f t="shared" si="2"/>
        <v>3113.0008333333335</v>
      </c>
      <c r="K21" s="73">
        <f t="shared" si="4"/>
        <v>12664.014166666668</v>
      </c>
      <c r="L21" s="73">
        <f t="shared" si="3"/>
        <v>10762.01</v>
      </c>
      <c r="M21" s="79">
        <f t="shared" si="5"/>
        <v>1902.0041666666675</v>
      </c>
    </row>
    <row r="22" spans="1:14" x14ac:dyDescent="0.25">
      <c r="A22" s="71" t="s">
        <v>161</v>
      </c>
      <c r="B22" s="661">
        <v>26</v>
      </c>
      <c r="C22" s="661">
        <v>21</v>
      </c>
      <c r="D22" s="159">
        <f t="shared" si="0"/>
        <v>5</v>
      </c>
      <c r="E22" s="662">
        <v>9938.6803357000008</v>
      </c>
      <c r="F22" s="662">
        <v>8129.16</v>
      </c>
      <c r="G22" s="79">
        <f t="shared" si="1"/>
        <v>1809.5203357000009</v>
      </c>
      <c r="H22" s="73">
        <v>5198.7597930616648</v>
      </c>
      <c r="I22" s="67">
        <v>3869.37</v>
      </c>
      <c r="J22" s="79">
        <f t="shared" si="2"/>
        <v>1329.3897930616649</v>
      </c>
      <c r="K22" s="73">
        <f t="shared" si="4"/>
        <v>4739.920542638336</v>
      </c>
      <c r="L22" s="73">
        <f t="shared" si="3"/>
        <v>4259.79</v>
      </c>
      <c r="M22" s="79">
        <f t="shared" si="5"/>
        <v>480.13054263833601</v>
      </c>
    </row>
    <row r="23" spans="1:14" x14ac:dyDescent="0.25">
      <c r="A23" s="71" t="s">
        <v>162</v>
      </c>
      <c r="B23" s="661">
        <v>109</v>
      </c>
      <c r="C23" s="661">
        <v>103</v>
      </c>
      <c r="D23" s="159">
        <f t="shared" si="0"/>
        <v>6</v>
      </c>
      <c r="E23" s="662">
        <v>67918.503498999999</v>
      </c>
      <c r="F23" s="662">
        <v>62424.67</v>
      </c>
      <c r="G23" s="79">
        <f t="shared" si="1"/>
        <v>5493.8334990000003</v>
      </c>
      <c r="H23" s="73">
        <v>53494.473563646672</v>
      </c>
      <c r="I23" s="67">
        <v>46124.78</v>
      </c>
      <c r="J23" s="79">
        <f t="shared" si="2"/>
        <v>7369.6935636466733</v>
      </c>
      <c r="K23" s="73">
        <f t="shared" si="4"/>
        <v>14424.029935353326</v>
      </c>
      <c r="L23" s="73">
        <f t="shared" si="3"/>
        <v>16299.89</v>
      </c>
      <c r="M23" s="79">
        <f t="shared" si="5"/>
        <v>-1875.860064646673</v>
      </c>
    </row>
    <row r="24" spans="1:14" x14ac:dyDescent="0.25">
      <c r="A24" s="71" t="s">
        <v>163</v>
      </c>
      <c r="B24" s="661">
        <v>43</v>
      </c>
      <c r="C24" s="661">
        <v>38</v>
      </c>
      <c r="D24" s="159">
        <f t="shared" si="0"/>
        <v>5</v>
      </c>
      <c r="E24" s="662">
        <v>19806.138132599994</v>
      </c>
      <c r="F24" s="662">
        <v>18223.73</v>
      </c>
      <c r="G24" s="79">
        <f t="shared" si="1"/>
        <v>1582.4081325999941</v>
      </c>
      <c r="H24" s="73">
        <v>15715.56707329333</v>
      </c>
      <c r="I24" s="67">
        <v>13621.68</v>
      </c>
      <c r="J24" s="79">
        <f t="shared" si="2"/>
        <v>2093.8870732933301</v>
      </c>
      <c r="K24" s="73">
        <f t="shared" si="4"/>
        <v>4090.5710593066633</v>
      </c>
      <c r="L24" s="73">
        <f t="shared" si="3"/>
        <v>4602.0499999999993</v>
      </c>
      <c r="M24" s="79">
        <f t="shared" si="5"/>
        <v>-511.47894069333597</v>
      </c>
    </row>
    <row r="25" spans="1:14" x14ac:dyDescent="0.25">
      <c r="A25" s="71" t="s">
        <v>164</v>
      </c>
      <c r="B25" s="661">
        <v>89</v>
      </c>
      <c r="C25" s="661">
        <v>81</v>
      </c>
      <c r="D25" s="159">
        <f t="shared" si="0"/>
        <v>8</v>
      </c>
      <c r="E25" s="662">
        <v>9466.2027357999996</v>
      </c>
      <c r="F25" s="662">
        <v>8849.61</v>
      </c>
      <c r="G25" s="79">
        <f t="shared" si="1"/>
        <v>616.59273579999899</v>
      </c>
      <c r="H25" s="73">
        <v>7331.2611428733335</v>
      </c>
      <c r="I25" s="67">
        <v>6515.07</v>
      </c>
      <c r="J25" s="79">
        <f t="shared" si="2"/>
        <v>816.19114287333377</v>
      </c>
      <c r="K25" s="73">
        <f t="shared" si="4"/>
        <v>2134.9415929266661</v>
      </c>
      <c r="L25" s="73">
        <f t="shared" si="3"/>
        <v>2334.5400000000009</v>
      </c>
      <c r="M25" s="79">
        <f t="shared" si="5"/>
        <v>-199.59840707333478</v>
      </c>
    </row>
    <row r="26" spans="1:14" x14ac:dyDescent="0.25">
      <c r="A26" s="71" t="s">
        <v>165</v>
      </c>
      <c r="B26" s="661">
        <v>13</v>
      </c>
      <c r="C26" s="661">
        <v>12</v>
      </c>
      <c r="D26" s="159">
        <f t="shared" si="0"/>
        <v>1</v>
      </c>
      <c r="E26" s="662">
        <v>1324.2346480000001</v>
      </c>
      <c r="F26" s="662">
        <v>1260.96065</v>
      </c>
      <c r="G26" s="79">
        <f t="shared" si="1"/>
        <v>63.27399800000012</v>
      </c>
      <c r="H26" s="73">
        <v>1171.6073110952382</v>
      </c>
      <c r="I26" s="67">
        <v>1093.26</v>
      </c>
      <c r="J26" s="79">
        <f t="shared" si="2"/>
        <v>78.347311095238183</v>
      </c>
      <c r="K26" s="73">
        <f t="shared" si="4"/>
        <v>152.62733690476193</v>
      </c>
      <c r="L26" s="73">
        <f t="shared" si="3"/>
        <v>167.70065</v>
      </c>
      <c r="M26" s="79">
        <f t="shared" si="5"/>
        <v>-15.073313095238063</v>
      </c>
      <c r="N26" s="4"/>
    </row>
    <row r="27" spans="1:14" x14ac:dyDescent="0.25">
      <c r="A27" s="71" t="s">
        <v>211</v>
      </c>
      <c r="B27" s="661">
        <v>54</v>
      </c>
      <c r="C27" s="661">
        <v>48</v>
      </c>
      <c r="D27" s="159">
        <f t="shared" si="0"/>
        <v>6</v>
      </c>
      <c r="E27" s="662">
        <v>15606.8021085</v>
      </c>
      <c r="F27" s="662">
        <v>8565.4599999999991</v>
      </c>
      <c r="G27" s="79">
        <f t="shared" si="1"/>
        <v>7041.3421085000009</v>
      </c>
      <c r="H27" s="73">
        <v>7256.9768629233349</v>
      </c>
      <c r="I27" s="67">
        <v>5224.59</v>
      </c>
      <c r="J27" s="79">
        <f t="shared" si="2"/>
        <v>2032.3868629233348</v>
      </c>
      <c r="K27" s="73">
        <f t="shared" si="4"/>
        <v>8349.8252455766651</v>
      </c>
      <c r="L27" s="73">
        <f>F27-I27</f>
        <v>3340.869999999999</v>
      </c>
      <c r="M27" s="79">
        <f t="shared" si="5"/>
        <v>5008.9552455766661</v>
      </c>
    </row>
    <row r="28" spans="1:14" x14ac:dyDescent="0.25">
      <c r="A28" s="71" t="s">
        <v>307</v>
      </c>
      <c r="B28" s="661">
        <v>2</v>
      </c>
      <c r="C28" s="661">
        <v>0</v>
      </c>
      <c r="D28" s="159">
        <f t="shared" si="0"/>
        <v>2</v>
      </c>
      <c r="E28" s="662">
        <v>12633.214120000001</v>
      </c>
      <c r="F28" s="662">
        <v>0</v>
      </c>
      <c r="G28" s="79">
        <f t="shared" si="1"/>
        <v>12633.214120000001</v>
      </c>
      <c r="H28" s="73">
        <v>1894.9821179999997</v>
      </c>
      <c r="I28" s="67">
        <v>0</v>
      </c>
      <c r="J28" s="79">
        <f t="shared" si="2"/>
        <v>1894.9821179999997</v>
      </c>
      <c r="K28" s="73">
        <f t="shared" si="4"/>
        <v>10738.232002000001</v>
      </c>
      <c r="L28" s="73">
        <f t="shared" si="3"/>
        <v>0</v>
      </c>
      <c r="M28" s="79">
        <f t="shared" si="5"/>
        <v>10738.232002000001</v>
      </c>
    </row>
    <row r="29" spans="1:14" x14ac:dyDescent="0.25">
      <c r="A29" s="71" t="s">
        <v>166</v>
      </c>
      <c r="B29" s="661">
        <v>22</v>
      </c>
      <c r="C29" s="661">
        <v>20</v>
      </c>
      <c r="D29" s="159">
        <f t="shared" si="0"/>
        <v>2</v>
      </c>
      <c r="E29" s="662">
        <v>1560.6320000000001</v>
      </c>
      <c r="F29" s="662">
        <v>1350.6320000000001</v>
      </c>
      <c r="G29" s="79">
        <f t="shared" si="1"/>
        <v>210</v>
      </c>
      <c r="H29" s="73">
        <v>228.10182222222227</v>
      </c>
      <c r="I29" s="67">
        <v>127.56</v>
      </c>
      <c r="J29" s="79">
        <f t="shared" si="2"/>
        <v>100.54182222222227</v>
      </c>
      <c r="K29" s="73">
        <f t="shared" si="4"/>
        <v>1332.5301777777777</v>
      </c>
      <c r="L29" s="73">
        <f t="shared" si="3"/>
        <v>1223.0720000000001</v>
      </c>
      <c r="M29" s="79">
        <f t="shared" si="5"/>
        <v>109.45817777777756</v>
      </c>
      <c r="N29" s="4"/>
    </row>
    <row r="30" spans="1:14" x14ac:dyDescent="0.25">
      <c r="A30" s="71" t="s">
        <v>167</v>
      </c>
      <c r="B30" s="661">
        <v>1</v>
      </c>
      <c r="C30" s="661">
        <v>1</v>
      </c>
      <c r="D30" s="159">
        <f t="shared" si="0"/>
        <v>0</v>
      </c>
      <c r="E30" s="662">
        <v>225</v>
      </c>
      <c r="F30" s="662">
        <v>225</v>
      </c>
      <c r="G30" s="79">
        <f t="shared" si="1"/>
        <v>0</v>
      </c>
      <c r="H30" s="73">
        <v>213.75</v>
      </c>
      <c r="I30" s="67">
        <v>202.5</v>
      </c>
      <c r="J30" s="79">
        <f t="shared" si="2"/>
        <v>11.25</v>
      </c>
      <c r="K30" s="73">
        <f t="shared" si="4"/>
        <v>11.25</v>
      </c>
      <c r="L30" s="73">
        <f t="shared" si="3"/>
        <v>22.5</v>
      </c>
      <c r="M30" s="79">
        <f t="shared" si="5"/>
        <v>-11.25</v>
      </c>
    </row>
    <row r="31" spans="1:14" ht="26.25" x14ac:dyDescent="0.25">
      <c r="A31" s="71" t="s">
        <v>168</v>
      </c>
      <c r="B31" s="661">
        <v>3</v>
      </c>
      <c r="C31" s="661">
        <v>2</v>
      </c>
      <c r="D31" s="159">
        <f t="shared" si="0"/>
        <v>1</v>
      </c>
      <c r="E31" s="662">
        <v>1318.8669199999999</v>
      </c>
      <c r="F31" s="662">
        <v>758.24</v>
      </c>
      <c r="G31" s="79">
        <f t="shared" si="1"/>
        <v>560.62691999999993</v>
      </c>
      <c r="H31" s="73">
        <v>1027.6232749999999</v>
      </c>
      <c r="I31" s="67">
        <v>425.34</v>
      </c>
      <c r="J31" s="79">
        <f t="shared" si="2"/>
        <v>602.283275</v>
      </c>
      <c r="K31" s="73">
        <f t="shared" si="4"/>
        <v>291.24364500000001</v>
      </c>
      <c r="L31" s="73">
        <f t="shared" si="3"/>
        <v>332.90000000000003</v>
      </c>
      <c r="M31" s="79">
        <f t="shared" si="5"/>
        <v>-41.656355000000019</v>
      </c>
      <c r="N31" s="683"/>
    </row>
    <row r="32" spans="1:14" x14ac:dyDescent="0.25">
      <c r="A32" s="74" t="s">
        <v>169</v>
      </c>
      <c r="B32" s="661">
        <v>11</v>
      </c>
      <c r="C32" s="661">
        <v>11</v>
      </c>
      <c r="D32" s="159">
        <f t="shared" si="0"/>
        <v>0</v>
      </c>
      <c r="E32" s="662">
        <v>1551.35788</v>
      </c>
      <c r="F32" s="662">
        <v>1551.35789</v>
      </c>
      <c r="G32" s="79">
        <f t="shared" si="1"/>
        <v>-9.9999999747524271E-6</v>
      </c>
      <c r="H32" s="73">
        <v>1207.1310404166668</v>
      </c>
      <c r="I32" s="67">
        <v>1076.3</v>
      </c>
      <c r="J32" s="79">
        <f t="shared" si="2"/>
        <v>130.83104041666684</v>
      </c>
      <c r="K32" s="73">
        <f t="shared" si="4"/>
        <v>344.22683958333323</v>
      </c>
      <c r="L32" s="73">
        <f t="shared" si="3"/>
        <v>475.05789000000004</v>
      </c>
      <c r="M32" s="79">
        <f t="shared" si="5"/>
        <v>-130.83105041666681</v>
      </c>
      <c r="N32" s="4"/>
    </row>
    <row r="33" spans="1:15" ht="15.75" thickBot="1" x14ac:dyDescent="0.3">
      <c r="A33" s="74" t="s">
        <v>170</v>
      </c>
      <c r="B33" s="661">
        <v>14</v>
      </c>
      <c r="C33" s="661">
        <v>14</v>
      </c>
      <c r="D33" s="159">
        <f t="shared" si="0"/>
        <v>0</v>
      </c>
      <c r="E33" s="662">
        <v>3870.3521799999999</v>
      </c>
      <c r="F33" s="662">
        <v>3870.35</v>
      </c>
      <c r="G33" s="79">
        <f t="shared" si="1"/>
        <v>2.1799999999529973E-3</v>
      </c>
      <c r="H33" s="73">
        <v>2227.3416050000001</v>
      </c>
      <c r="I33" s="67">
        <v>1883.27</v>
      </c>
      <c r="J33" s="79">
        <f t="shared" si="2"/>
        <v>344.07160500000009</v>
      </c>
      <c r="K33" s="73">
        <f t="shared" si="4"/>
        <v>1643.0105749999998</v>
      </c>
      <c r="L33" s="73">
        <f t="shared" si="3"/>
        <v>1987.08</v>
      </c>
      <c r="M33" s="79">
        <f t="shared" si="5"/>
        <v>-344.06942500000014</v>
      </c>
      <c r="N33" s="4"/>
    </row>
    <row r="34" spans="1:15" ht="15.75" thickBot="1" x14ac:dyDescent="0.3">
      <c r="A34" s="262" t="s">
        <v>238</v>
      </c>
      <c r="B34" s="160">
        <f>SUM(B3:B33)</f>
        <v>1012</v>
      </c>
      <c r="C34" s="160">
        <f>SUM(C3:C33)</f>
        <v>915</v>
      </c>
      <c r="D34" s="160">
        <f t="shared" ref="D34" si="8">SUM(D3:D33)</f>
        <v>97</v>
      </c>
      <c r="E34" s="361">
        <f>SUM(E3:E33)</f>
        <v>4103203.6836524</v>
      </c>
      <c r="F34" s="840">
        <f>SUM(F3:F33)</f>
        <v>3706727.6772000012</v>
      </c>
      <c r="G34" s="361">
        <f t="shared" ref="G34:J34" si="9">SUM(G3:G33)</f>
        <v>396476.00645240012</v>
      </c>
      <c r="H34" s="361">
        <f t="shared" si="9"/>
        <v>1847343.4226681816</v>
      </c>
      <c r="I34" s="158">
        <f t="shared" si="9"/>
        <v>1804865.2700000007</v>
      </c>
      <c r="J34" s="158">
        <f t="shared" si="9"/>
        <v>42478.152668181552</v>
      </c>
      <c r="K34" s="158">
        <f t="shared" ref="K34:L34" si="10">SUM(K3:K33)</f>
        <v>2255860.2609842173</v>
      </c>
      <c r="L34" s="158">
        <f t="shared" si="10"/>
        <v>1901862.4071999998</v>
      </c>
      <c r="M34" s="158">
        <f>SUM(M3:M33)</f>
        <v>353997.85378421831</v>
      </c>
      <c r="O34" s="683"/>
    </row>
    <row r="35" spans="1:15" x14ac:dyDescent="0.25">
      <c r="A35" s="80" t="s">
        <v>181</v>
      </c>
      <c r="B35" s="91">
        <v>756</v>
      </c>
      <c r="C35" s="91">
        <v>756</v>
      </c>
      <c r="D35" s="238">
        <v>0</v>
      </c>
      <c r="E35" s="87">
        <v>22435224.766720001</v>
      </c>
      <c r="F35" s="87">
        <v>22435224.766720001</v>
      </c>
      <c r="G35" s="245">
        <v>0</v>
      </c>
      <c r="H35" s="87">
        <v>0</v>
      </c>
      <c r="I35" s="87">
        <v>0</v>
      </c>
      <c r="J35" s="245">
        <v>0</v>
      </c>
      <c r="K35" s="87">
        <v>22435224.766720001</v>
      </c>
      <c r="L35" s="87">
        <v>22435224.766720001</v>
      </c>
      <c r="M35" s="245">
        <v>0</v>
      </c>
      <c r="N35" s="4"/>
      <c r="O35" s="129"/>
    </row>
    <row r="36" spans="1:15" ht="27.6" customHeight="1" x14ac:dyDescent="0.25">
      <c r="A36" s="71" t="s">
        <v>180</v>
      </c>
      <c r="B36" s="82">
        <v>1943.65</v>
      </c>
      <c r="C36" s="82">
        <v>1943.65</v>
      </c>
      <c r="D36" s="239">
        <v>0</v>
      </c>
      <c r="E36" s="73">
        <v>120894567.94577999</v>
      </c>
      <c r="F36" s="73">
        <v>120894567.94577999</v>
      </c>
      <c r="G36" s="79">
        <v>0</v>
      </c>
      <c r="H36" s="73">
        <v>0</v>
      </c>
      <c r="I36" s="73">
        <v>0</v>
      </c>
      <c r="J36" s="79">
        <v>0</v>
      </c>
      <c r="K36" s="73">
        <v>120894567.94577999</v>
      </c>
      <c r="L36" s="73">
        <v>120894567.94577999</v>
      </c>
      <c r="M36" s="79">
        <v>0</v>
      </c>
    </row>
    <row r="37" spans="1:15" x14ac:dyDescent="0.25">
      <c r="A37" s="71" t="s">
        <v>173</v>
      </c>
      <c r="B37" s="82">
        <v>99</v>
      </c>
      <c r="C37" s="82">
        <v>99</v>
      </c>
      <c r="D37" s="239">
        <v>0</v>
      </c>
      <c r="E37" s="73">
        <v>13385469.370680001</v>
      </c>
      <c r="F37" s="73">
        <v>13385469.370680001</v>
      </c>
      <c r="G37" s="79">
        <v>0</v>
      </c>
      <c r="H37" s="73">
        <v>0</v>
      </c>
      <c r="I37" s="73">
        <v>0</v>
      </c>
      <c r="J37" s="79">
        <v>0</v>
      </c>
      <c r="K37" s="73">
        <v>13385469.370680001</v>
      </c>
      <c r="L37" s="73">
        <v>13385469.370680001</v>
      </c>
      <c r="M37" s="1026">
        <v>0</v>
      </c>
    </row>
    <row r="38" spans="1:15" x14ac:dyDescent="0.25">
      <c r="A38" s="71" t="s">
        <v>174</v>
      </c>
      <c r="B38" s="72" t="s">
        <v>134</v>
      </c>
      <c r="C38" s="72" t="s">
        <v>134</v>
      </c>
      <c r="D38" s="239" t="s">
        <v>134</v>
      </c>
      <c r="E38" s="73">
        <v>16665.424360000001</v>
      </c>
      <c r="F38" s="73">
        <v>16665.424360000001</v>
      </c>
      <c r="G38" s="79">
        <v>0</v>
      </c>
      <c r="H38" s="73">
        <v>0</v>
      </c>
      <c r="I38" s="73">
        <v>0</v>
      </c>
      <c r="J38" s="79">
        <v>0</v>
      </c>
      <c r="K38" s="73">
        <v>16665.424360000001</v>
      </c>
      <c r="L38" s="73">
        <v>16665.424360000001</v>
      </c>
      <c r="M38" s="1026" t="s">
        <v>134</v>
      </c>
    </row>
    <row r="39" spans="1:15" ht="26.25" x14ac:dyDescent="0.25">
      <c r="A39" s="71" t="s">
        <v>176</v>
      </c>
      <c r="B39" s="82">
        <v>18112.72</v>
      </c>
      <c r="C39" s="82">
        <v>18112.72</v>
      </c>
      <c r="D39" s="239">
        <v>0</v>
      </c>
      <c r="E39" s="73">
        <v>4013723.6642199997</v>
      </c>
      <c r="F39" s="73">
        <v>4013723.6642199997</v>
      </c>
      <c r="G39" s="79">
        <v>0</v>
      </c>
      <c r="H39" s="73">
        <v>0</v>
      </c>
      <c r="I39" s="73">
        <v>0</v>
      </c>
      <c r="J39" s="79">
        <v>0</v>
      </c>
      <c r="K39" s="73">
        <v>4013723.6642199997</v>
      </c>
      <c r="L39" s="73">
        <v>4013723.6642199997</v>
      </c>
      <c r="M39" s="79">
        <v>0</v>
      </c>
    </row>
    <row r="40" spans="1:15" ht="27" thickBot="1" x14ac:dyDescent="0.3">
      <c r="A40" s="81" t="s">
        <v>175</v>
      </c>
      <c r="B40" s="83" t="s">
        <v>134</v>
      </c>
      <c r="C40" s="83" t="s">
        <v>134</v>
      </c>
      <c r="D40" s="240" t="s">
        <v>134</v>
      </c>
      <c r="E40" s="75">
        <v>19846.91</v>
      </c>
      <c r="F40" s="75">
        <v>19846.91</v>
      </c>
      <c r="G40" s="246">
        <v>0</v>
      </c>
      <c r="H40" s="75">
        <v>0</v>
      </c>
      <c r="I40" s="75">
        <v>0</v>
      </c>
      <c r="J40" s="246">
        <v>0</v>
      </c>
      <c r="K40" s="75">
        <v>19846.91</v>
      </c>
      <c r="L40" s="75">
        <v>19846.91</v>
      </c>
      <c r="M40" s="246">
        <v>0</v>
      </c>
    </row>
    <row r="41" spans="1:15" ht="15.75" thickBot="1" x14ac:dyDescent="0.3">
      <c r="A41" s="261" t="s">
        <v>10</v>
      </c>
      <c r="B41" s="241"/>
      <c r="C41" s="241"/>
      <c r="D41" s="241" t="s">
        <v>20</v>
      </c>
      <c r="E41" s="247">
        <f>SUM(E35:E40)</f>
        <v>160765498.08176002</v>
      </c>
      <c r="F41" s="247">
        <f t="shared" ref="F41:M41" si="11">SUM(F35:F40)</f>
        <v>160765498.08176002</v>
      </c>
      <c r="G41" s="247">
        <f t="shared" si="11"/>
        <v>0</v>
      </c>
      <c r="H41" s="247">
        <f t="shared" si="11"/>
        <v>0</v>
      </c>
      <c r="I41" s="247">
        <f t="shared" si="11"/>
        <v>0</v>
      </c>
      <c r="J41" s="247">
        <f t="shared" si="11"/>
        <v>0</v>
      </c>
      <c r="K41" s="247">
        <f t="shared" si="11"/>
        <v>160765498.08176002</v>
      </c>
      <c r="L41" s="247">
        <f t="shared" si="11"/>
        <v>160765498.08176002</v>
      </c>
      <c r="M41" s="252">
        <f t="shared" si="11"/>
        <v>0</v>
      </c>
    </row>
    <row r="42" spans="1:15" ht="15.75" thickBot="1" x14ac:dyDescent="0.3">
      <c r="A42" s="256" t="s">
        <v>10</v>
      </c>
      <c r="B42" s="257"/>
      <c r="C42" s="258"/>
      <c r="D42" s="258"/>
      <c r="E42" s="259">
        <f>E41+E34</f>
        <v>164868701.76541242</v>
      </c>
      <c r="F42" s="259">
        <f t="shared" ref="F42:M42" si="12">F41+F34</f>
        <v>164472225.75896001</v>
      </c>
      <c r="G42" s="259">
        <f t="shared" si="12"/>
        <v>396476.00645240012</v>
      </c>
      <c r="H42" s="842">
        <f t="shared" si="12"/>
        <v>1847343.4226681816</v>
      </c>
      <c r="I42" s="259">
        <f t="shared" si="12"/>
        <v>1804865.2700000007</v>
      </c>
      <c r="J42" s="259">
        <f t="shared" si="12"/>
        <v>42478.152668181552</v>
      </c>
      <c r="K42" s="259">
        <f t="shared" si="12"/>
        <v>163021358.34274423</v>
      </c>
      <c r="L42" s="259">
        <f t="shared" si="12"/>
        <v>162667360.48896003</v>
      </c>
      <c r="M42" s="259">
        <f t="shared" si="12"/>
        <v>353997.85378421831</v>
      </c>
    </row>
    <row r="43" spans="1:15" ht="15.75" thickBot="1" x14ac:dyDescent="0.3">
      <c r="A43" s="86" t="s">
        <v>177</v>
      </c>
      <c r="B43" s="163" t="s">
        <v>134</v>
      </c>
      <c r="C43" s="164" t="s">
        <v>134</v>
      </c>
      <c r="D43" s="242" t="s">
        <v>134</v>
      </c>
      <c r="E43" s="88">
        <v>3474.7717499999999</v>
      </c>
      <c r="F43" s="823">
        <v>9197.6</v>
      </c>
      <c r="G43" s="248">
        <f>E43-F43</f>
        <v>-5722.8282500000005</v>
      </c>
      <c r="H43" s="88">
        <v>0</v>
      </c>
      <c r="I43" s="88">
        <v>0</v>
      </c>
      <c r="J43" s="248">
        <v>0</v>
      </c>
      <c r="K43" s="88">
        <v>3474.7717499999999</v>
      </c>
      <c r="L43" s="88">
        <v>9197.6</v>
      </c>
      <c r="M43" s="253">
        <f>K43-L43</f>
        <v>-5722.8282500000005</v>
      </c>
    </row>
    <row r="44" spans="1:15" ht="15.75" thickBot="1" x14ac:dyDescent="0.3">
      <c r="A44" s="89" t="s">
        <v>178</v>
      </c>
      <c r="B44" s="165" t="s">
        <v>134</v>
      </c>
      <c r="C44" s="166" t="s">
        <v>134</v>
      </c>
      <c r="D44" s="243" t="s">
        <v>134</v>
      </c>
      <c r="E44" s="90">
        <v>0</v>
      </c>
      <c r="F44" s="88"/>
      <c r="G44" s="248">
        <f>E44-F44</f>
        <v>0</v>
      </c>
      <c r="H44" s="90">
        <v>0</v>
      </c>
      <c r="I44" s="90">
        <v>0</v>
      </c>
      <c r="J44" s="249">
        <v>0</v>
      </c>
      <c r="K44" s="90">
        <v>0</v>
      </c>
      <c r="L44" s="167">
        <v>1436.55486</v>
      </c>
      <c r="M44" s="253">
        <f>K44-L44</f>
        <v>-1436.55486</v>
      </c>
    </row>
    <row r="45" spans="1:15" ht="15.75" thickBot="1" x14ac:dyDescent="0.3">
      <c r="A45" s="260" t="s">
        <v>10</v>
      </c>
      <c r="B45" s="244" t="s">
        <v>134</v>
      </c>
      <c r="C45" s="244" t="s">
        <v>134</v>
      </c>
      <c r="D45" s="244" t="s">
        <v>134</v>
      </c>
      <c r="E45" s="251">
        <f>SUM(E43:E44)</f>
        <v>3474.7717499999999</v>
      </c>
      <c r="F45" s="251">
        <f>SUM(F43:F44)</f>
        <v>9197.6</v>
      </c>
      <c r="G45" s="251">
        <f>E45-F45</f>
        <v>-5722.8282500000005</v>
      </c>
      <c r="H45" s="251">
        <f>SUM(H43:H44)</f>
        <v>0</v>
      </c>
      <c r="I45" s="251">
        <f>SUM(I43:I44)</f>
        <v>0</v>
      </c>
      <c r="J45" s="251">
        <f>SUM(J43:J44)</f>
        <v>0</v>
      </c>
      <c r="K45" s="251">
        <f>SUM(K43:K44)</f>
        <v>3474.7717499999999</v>
      </c>
      <c r="L45" s="251">
        <f>SUM(L43:L44)</f>
        <v>10634.154860000001</v>
      </c>
      <c r="M45" s="255">
        <f>K45-L45</f>
        <v>-7159.3831100000007</v>
      </c>
    </row>
    <row r="46" spans="1:15" ht="15.75" thickBot="1" x14ac:dyDescent="0.3">
      <c r="A46" s="130" t="s">
        <v>112</v>
      </c>
      <c r="B46" s="84" t="s">
        <v>179</v>
      </c>
      <c r="C46" s="77" t="s">
        <v>179</v>
      </c>
      <c r="D46" s="161" t="s">
        <v>179</v>
      </c>
      <c r="E46" s="168">
        <v>97579.147819999998</v>
      </c>
      <c r="F46" s="839">
        <v>77580.961049999998</v>
      </c>
      <c r="G46" s="250">
        <f>E46-F46</f>
        <v>19998.18677</v>
      </c>
      <c r="H46" s="168">
        <v>0</v>
      </c>
      <c r="I46" s="168">
        <v>0</v>
      </c>
      <c r="J46" s="250">
        <v>0</v>
      </c>
      <c r="K46" s="169">
        <f>E46-H46</f>
        <v>97579.147819999998</v>
      </c>
      <c r="L46" s="838">
        <v>77580.961049999998</v>
      </c>
      <c r="M46" s="254">
        <f>K46-L46</f>
        <v>19998.18677</v>
      </c>
    </row>
    <row r="47" spans="1:15" ht="15.75" thickBot="1" x14ac:dyDescent="0.3">
      <c r="A47" s="260" t="s">
        <v>10</v>
      </c>
      <c r="B47" s="244"/>
      <c r="C47" s="244"/>
      <c r="D47" s="244"/>
      <c r="E47" s="251">
        <f>E46</f>
        <v>97579.147819999998</v>
      </c>
      <c r="F47" s="251">
        <f>F46</f>
        <v>77580.961049999998</v>
      </c>
      <c r="G47" s="251">
        <f>E47-F47</f>
        <v>19998.18677</v>
      </c>
      <c r="H47" s="251">
        <v>0</v>
      </c>
      <c r="I47" s="251">
        <v>0</v>
      </c>
      <c r="J47" s="251">
        <v>0</v>
      </c>
      <c r="K47" s="251">
        <f>K46</f>
        <v>97579.147819999998</v>
      </c>
      <c r="L47" s="251">
        <f>L46</f>
        <v>77580.961049999998</v>
      </c>
      <c r="M47" s="255">
        <f>M46</f>
        <v>19998.18677</v>
      </c>
    </row>
    <row r="48" spans="1:15" ht="15.75" thickBot="1" x14ac:dyDescent="0.3">
      <c r="A48" s="256" t="s">
        <v>19</v>
      </c>
      <c r="B48" s="257"/>
      <c r="C48" s="258"/>
      <c r="D48" s="258"/>
      <c r="E48" s="259">
        <f>E34+E41+E45+E47</f>
        <v>164969755.68498242</v>
      </c>
      <c r="F48" s="259">
        <f t="shared" ref="F48:J48" si="13">F34+F41+F45+F47</f>
        <v>164559004.32001001</v>
      </c>
      <c r="G48" s="259">
        <f t="shared" si="13"/>
        <v>410751.36497240013</v>
      </c>
      <c r="H48" s="259">
        <f t="shared" si="13"/>
        <v>1847343.4226681816</v>
      </c>
      <c r="I48" s="259">
        <f t="shared" si="13"/>
        <v>1804865.2700000007</v>
      </c>
      <c r="J48" s="259">
        <f t="shared" si="13"/>
        <v>42478.152668181552</v>
      </c>
      <c r="K48" s="259">
        <f>K34+K41+K45+K47</f>
        <v>163122412.26231423</v>
      </c>
      <c r="L48" s="259">
        <f>L34+L41+L45+L47</f>
        <v>162755575.60487002</v>
      </c>
      <c r="M48" s="259">
        <f>M34+M41+M45+M47</f>
        <v>366836.65744421829</v>
      </c>
      <c r="N48" s="4"/>
    </row>
    <row r="49" spans="1:14" ht="15.75" thickBot="1" x14ac:dyDescent="0.3">
      <c r="A49" s="1027" t="s">
        <v>182</v>
      </c>
      <c r="B49" s="1028"/>
      <c r="C49" s="1028"/>
      <c r="D49" s="1028"/>
      <c r="E49" s="1028"/>
      <c r="F49" s="1028"/>
      <c r="G49" s="1028"/>
      <c r="H49" s="1028"/>
      <c r="I49" s="1028"/>
      <c r="J49" s="1028"/>
      <c r="K49" s="1028"/>
      <c r="L49" s="1028"/>
      <c r="M49" s="1029"/>
      <c r="N49" s="4"/>
    </row>
    <row r="50" spans="1:14" ht="15.75" thickBot="1" x14ac:dyDescent="0.3">
      <c r="A50" s="1030" t="s">
        <v>183</v>
      </c>
      <c r="B50" s="1031"/>
      <c r="C50" s="1031"/>
      <c r="D50" s="1031"/>
      <c r="E50" s="1031"/>
      <c r="F50" s="1031"/>
      <c r="G50" s="1031"/>
      <c r="H50" s="1031"/>
      <c r="I50" s="1031"/>
      <c r="J50" s="1031"/>
      <c r="K50" s="1031"/>
      <c r="L50" s="1031"/>
      <c r="M50" s="1032"/>
    </row>
    <row r="51" spans="1:14" ht="15.75" thickBot="1" x14ac:dyDescent="0.3">
      <c r="F51" s="157" t="s">
        <v>20</v>
      </c>
      <c r="H51" s="18" t="s">
        <v>20</v>
      </c>
      <c r="K51" s="78">
        <v>163197732.69992</v>
      </c>
      <c r="L51" s="78">
        <v>162668701.35982999</v>
      </c>
      <c r="M51" s="78">
        <f>K51-L51</f>
        <v>529031.34009000659</v>
      </c>
    </row>
    <row r="52" spans="1:14" ht="15.75" thickBot="1" x14ac:dyDescent="0.3"/>
    <row r="53" spans="1:14" ht="15.75" thickBot="1" x14ac:dyDescent="0.3">
      <c r="D53" s="4">
        <f>+[1]RESUMEN!$C$35</f>
        <v>4103203683.6524</v>
      </c>
      <c r="K53" s="78">
        <f>K48-K51</f>
        <v>-75320.437605768442</v>
      </c>
      <c r="L53" s="78">
        <f>L48-L51</f>
        <v>86874.245040029287</v>
      </c>
      <c r="M53" s="78">
        <f>M48-M51</f>
        <v>-162194.6826457883</v>
      </c>
    </row>
    <row r="54" spans="1:14" x14ac:dyDescent="0.25">
      <c r="D54" s="4">
        <f>+D53/1000</f>
        <v>4103203.6836524</v>
      </c>
    </row>
    <row r="55" spans="1:14" x14ac:dyDescent="0.25">
      <c r="D55" s="4">
        <f>+D54-E34</f>
        <v>0</v>
      </c>
    </row>
  </sheetData>
  <protectedRanges>
    <protectedRange sqref="F6" name="Rango1_1_4_1"/>
    <protectedRange sqref="I11" name="Rango1_1_9"/>
    <protectedRange sqref="A13 C13" name="Rango1_2"/>
    <protectedRange sqref="A46" name="Rango1_13"/>
    <protectedRange sqref="K51" name="Rango1"/>
    <protectedRange sqref="L51" name="Rango1_1"/>
    <protectedRange sqref="H16" name="Rango1_4"/>
    <protectedRange sqref="E21" name="Rango1_6"/>
    <protectedRange sqref="E9" name="Rango1_5_1"/>
    <protectedRange sqref="E20" name="Rango1_15"/>
  </protectedRanges>
  <mergeCells count="3">
    <mergeCell ref="M37:M38"/>
    <mergeCell ref="A49:M49"/>
    <mergeCell ref="A50:M5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9"/>
  <sheetViews>
    <sheetView topLeftCell="A4" workbookViewId="0">
      <pane xSplit="1" topLeftCell="B1" activePane="topRight" state="frozen"/>
      <selection activeCell="A2" sqref="A2"/>
      <selection pane="topRight" activeCell="H3" sqref="H3:H33"/>
    </sheetView>
  </sheetViews>
  <sheetFormatPr baseColWidth="10" defaultColWidth="9.140625" defaultRowHeight="15" x14ac:dyDescent="0.25"/>
  <cols>
    <col min="1" max="1" width="31.5703125" customWidth="1"/>
    <col min="5" max="6" width="11.42578125" bestFit="1" customWidth="1"/>
    <col min="7" max="7" width="13.85546875" customWidth="1"/>
    <col min="8" max="9" width="11.85546875" customWidth="1"/>
    <col min="10" max="10" width="10" bestFit="1" customWidth="1"/>
    <col min="11" max="11" width="9.7109375" customWidth="1"/>
    <col min="12" max="12" width="11.5703125" bestFit="1" customWidth="1"/>
    <col min="13" max="13" width="9.5703125" bestFit="1" customWidth="1"/>
  </cols>
  <sheetData>
    <row r="1" spans="1:16" ht="15.75" thickBot="1" x14ac:dyDescent="0.3"/>
    <row r="2" spans="1:16" ht="62.25" customHeight="1" thickBot="1" x14ac:dyDescent="0.3">
      <c r="A2" s="69" t="s">
        <v>136</v>
      </c>
      <c r="B2" s="70" t="s">
        <v>171</v>
      </c>
      <c r="C2" s="70" t="s">
        <v>172</v>
      </c>
      <c r="D2" s="70" t="s">
        <v>137</v>
      </c>
      <c r="E2" s="70" t="s">
        <v>139</v>
      </c>
      <c r="F2" s="70" t="s">
        <v>138</v>
      </c>
      <c r="G2" s="70" t="s">
        <v>137</v>
      </c>
      <c r="H2" s="70" t="s">
        <v>141</v>
      </c>
      <c r="I2" s="70" t="s">
        <v>140</v>
      </c>
      <c r="J2" s="70" t="s">
        <v>137</v>
      </c>
      <c r="K2" s="70" t="s">
        <v>142</v>
      </c>
      <c r="L2" s="70" t="s">
        <v>143</v>
      </c>
      <c r="M2" s="70" t="s">
        <v>137</v>
      </c>
    </row>
    <row r="3" spans="1:16" x14ac:dyDescent="0.25">
      <c r="A3" s="71" t="s">
        <v>144</v>
      </c>
      <c r="B3" s="661">
        <v>7</v>
      </c>
      <c r="C3" s="822">
        <v>7</v>
      </c>
      <c r="D3" s="159">
        <v>0</v>
      </c>
      <c r="E3" s="73">
        <v>458013.35</v>
      </c>
      <c r="F3" s="662">
        <v>458013.35</v>
      </c>
      <c r="G3" s="79">
        <v>0</v>
      </c>
      <c r="H3" s="695">
        <v>0</v>
      </c>
      <c r="I3" s="693">
        <v>0</v>
      </c>
      <c r="J3" s="79">
        <v>0</v>
      </c>
      <c r="K3" s="73">
        <f>E3-H3</f>
        <v>458013.35</v>
      </c>
      <c r="L3" s="73">
        <f>+F3-I3</f>
        <v>458013.35</v>
      </c>
      <c r="M3" s="79">
        <f>+K3-L3</f>
        <v>0</v>
      </c>
    </row>
    <row r="4" spans="1:16" x14ac:dyDescent="0.25">
      <c r="A4" s="71" t="s">
        <v>145</v>
      </c>
      <c r="B4" s="661">
        <v>10</v>
      </c>
      <c r="C4" s="822">
        <v>9</v>
      </c>
      <c r="D4" s="159">
        <v>1</v>
      </c>
      <c r="E4" s="73">
        <v>840396.07311</v>
      </c>
      <c r="F4" s="662">
        <v>812215.69</v>
      </c>
      <c r="G4" s="79">
        <f>+E4-F4</f>
        <v>28180.383110000053</v>
      </c>
      <c r="H4" s="695">
        <v>53825.186520215539</v>
      </c>
      <c r="I4" s="693">
        <v>294050.43</v>
      </c>
      <c r="J4" s="79">
        <f>+H4-I4</f>
        <v>-240225.24347978446</v>
      </c>
      <c r="K4" s="73">
        <f>E4-H4</f>
        <v>786570.88658978441</v>
      </c>
      <c r="L4" s="73">
        <f t="shared" ref="L4:L33" si="0">+F4-I4</f>
        <v>518165.25999999995</v>
      </c>
      <c r="M4" s="79">
        <f t="shared" ref="M4:M33" si="1">+K4-L4</f>
        <v>268405.62658978446</v>
      </c>
    </row>
    <row r="5" spans="1:16" x14ac:dyDescent="0.25">
      <c r="A5" s="71" t="s">
        <v>146</v>
      </c>
      <c r="B5" s="661">
        <v>33</v>
      </c>
      <c r="C5" s="822">
        <v>30</v>
      </c>
      <c r="D5" s="159">
        <v>5</v>
      </c>
      <c r="E5" s="691">
        <v>2273686.99596</v>
      </c>
      <c r="F5" s="662">
        <v>2005380.77</v>
      </c>
      <c r="G5" s="79">
        <f t="shared" ref="G5:G33" si="2">+E5-F5</f>
        <v>268306.22595999995</v>
      </c>
      <c r="H5" s="693">
        <v>1438667.6868473808</v>
      </c>
      <c r="I5" s="693">
        <v>1229439.55</v>
      </c>
      <c r="J5" s="79">
        <f t="shared" ref="J5:J33" si="3">+H5-I5</f>
        <v>209228.13684738078</v>
      </c>
      <c r="K5" s="73">
        <f t="shared" ref="K5:K33" si="4">E5-H5</f>
        <v>835019.30911261914</v>
      </c>
      <c r="L5" s="73">
        <f t="shared" si="0"/>
        <v>775941.22</v>
      </c>
      <c r="M5" s="79">
        <f t="shared" si="1"/>
        <v>59078.089112619171</v>
      </c>
    </row>
    <row r="6" spans="1:16" x14ac:dyDescent="0.25">
      <c r="A6" s="71" t="s">
        <v>148</v>
      </c>
      <c r="B6" s="661">
        <v>7</v>
      </c>
      <c r="C6" s="822">
        <v>6</v>
      </c>
      <c r="D6" s="159">
        <v>1</v>
      </c>
      <c r="E6" s="73">
        <v>6734.8987324999998</v>
      </c>
      <c r="F6" s="662">
        <v>6452.3987300000008</v>
      </c>
      <c r="G6" s="79">
        <f t="shared" si="2"/>
        <v>282.50000249999903</v>
      </c>
      <c r="H6" s="695">
        <v>6370.4944064583333</v>
      </c>
      <c r="I6" s="693">
        <v>5736.01</v>
      </c>
      <c r="J6" s="79">
        <f t="shared" si="3"/>
        <v>634.48440645833307</v>
      </c>
      <c r="K6" s="73">
        <f>E6-H6</f>
        <v>364.40432604166654</v>
      </c>
      <c r="L6" s="73">
        <f t="shared" si="0"/>
        <v>716.38873000000058</v>
      </c>
      <c r="M6" s="79">
        <f t="shared" si="1"/>
        <v>-351.98440395833404</v>
      </c>
    </row>
    <row r="7" spans="1:16" x14ac:dyDescent="0.25">
      <c r="A7" s="74" t="s">
        <v>149</v>
      </c>
      <c r="B7" s="661">
        <v>12</v>
      </c>
      <c r="C7" s="822">
        <v>12</v>
      </c>
      <c r="D7" s="159">
        <v>1</v>
      </c>
      <c r="E7" s="73">
        <v>7392.8029999999999</v>
      </c>
      <c r="F7" s="662">
        <v>7392.8</v>
      </c>
      <c r="G7" s="79">
        <f t="shared" si="2"/>
        <v>2.9999999997016857E-3</v>
      </c>
      <c r="H7" s="695">
        <v>2476.4039141666672</v>
      </c>
      <c r="I7" s="693">
        <v>1772.46</v>
      </c>
      <c r="J7" s="79">
        <f t="shared" si="3"/>
        <v>703.94391416666713</v>
      </c>
      <c r="K7" s="73">
        <f t="shared" ref="K7:K8" si="5">E7-H7</f>
        <v>4916.3990858333327</v>
      </c>
      <c r="L7" s="73">
        <f t="shared" si="0"/>
        <v>5620.34</v>
      </c>
      <c r="M7" s="79">
        <f t="shared" si="1"/>
        <v>-703.94091416666743</v>
      </c>
    </row>
    <row r="8" spans="1:16" x14ac:dyDescent="0.25">
      <c r="A8" s="71" t="s">
        <v>147</v>
      </c>
      <c r="B8" s="661">
        <v>2</v>
      </c>
      <c r="C8" s="822">
        <v>2</v>
      </c>
      <c r="D8" s="159">
        <v>0</v>
      </c>
      <c r="E8" s="73">
        <v>280.05799999999999</v>
      </c>
      <c r="F8" s="662">
        <v>280.05799999999999</v>
      </c>
      <c r="G8" s="79">
        <f t="shared" si="2"/>
        <v>0</v>
      </c>
      <c r="H8" s="695">
        <v>117.82136666666666</v>
      </c>
      <c r="I8" s="693">
        <v>96.66</v>
      </c>
      <c r="J8" s="79">
        <f t="shared" si="3"/>
        <v>21.161366666666666</v>
      </c>
      <c r="K8" s="73">
        <f t="shared" si="5"/>
        <v>162.23663333333332</v>
      </c>
      <c r="L8" s="73">
        <f t="shared" si="0"/>
        <v>183.398</v>
      </c>
      <c r="M8" s="79">
        <f t="shared" si="1"/>
        <v>-21.16136666666668</v>
      </c>
    </row>
    <row r="9" spans="1:16" ht="12.95" customHeight="1" x14ac:dyDescent="0.25">
      <c r="A9" s="71" t="s">
        <v>150</v>
      </c>
      <c r="B9" s="661">
        <v>70</v>
      </c>
      <c r="C9" s="822">
        <v>49</v>
      </c>
      <c r="D9" s="159">
        <v>19</v>
      </c>
      <c r="E9" s="73">
        <v>42717.604499999994</v>
      </c>
      <c r="F9" s="662">
        <v>34130.25</v>
      </c>
      <c r="G9" s="79">
        <f t="shared" si="2"/>
        <v>8587.354499999994</v>
      </c>
      <c r="H9" s="695">
        <v>17896.861211888885</v>
      </c>
      <c r="I9" s="693">
        <v>12176.81</v>
      </c>
      <c r="J9" s="79">
        <f t="shared" si="3"/>
        <v>5720.0512118888855</v>
      </c>
      <c r="K9" s="663">
        <f t="shared" si="4"/>
        <v>24820.743288111109</v>
      </c>
      <c r="L9" s="73">
        <f t="shared" si="0"/>
        <v>21953.440000000002</v>
      </c>
      <c r="M9" s="79">
        <f t="shared" si="1"/>
        <v>2867.3032881111067</v>
      </c>
    </row>
    <row r="10" spans="1:16" x14ac:dyDescent="0.25">
      <c r="A10" s="71" t="s">
        <v>151</v>
      </c>
      <c r="B10" s="661">
        <v>2</v>
      </c>
      <c r="C10" s="822">
        <v>2</v>
      </c>
      <c r="D10" s="159">
        <v>0</v>
      </c>
      <c r="E10" s="73">
        <v>5189.6848</v>
      </c>
      <c r="F10" s="662">
        <v>5189.6848</v>
      </c>
      <c r="G10" s="79">
        <f t="shared" si="2"/>
        <v>0</v>
      </c>
      <c r="H10" s="695">
        <v>2006.7749422222223</v>
      </c>
      <c r="I10" s="693">
        <v>1660.8</v>
      </c>
      <c r="J10" s="79">
        <f t="shared" si="3"/>
        <v>345.97494222222235</v>
      </c>
      <c r="K10" s="73">
        <f t="shared" si="4"/>
        <v>3182.9098577777777</v>
      </c>
      <c r="L10" s="73">
        <f t="shared" si="0"/>
        <v>3528.8847999999998</v>
      </c>
      <c r="M10" s="79">
        <f t="shared" si="1"/>
        <v>-345.97494222222213</v>
      </c>
      <c r="O10" t="s">
        <v>20</v>
      </c>
    </row>
    <row r="11" spans="1:16" x14ac:dyDescent="0.25">
      <c r="A11" s="71" t="s">
        <v>210</v>
      </c>
      <c r="B11" s="661">
        <v>4</v>
      </c>
      <c r="C11" s="822">
        <v>4</v>
      </c>
      <c r="D11" s="159">
        <v>-1</v>
      </c>
      <c r="E11" s="73">
        <v>10870.894</v>
      </c>
      <c r="F11" s="662">
        <v>10870.89</v>
      </c>
      <c r="G11" s="79">
        <f t="shared" si="2"/>
        <v>4.0000000008149073E-3</v>
      </c>
      <c r="H11" s="695">
        <v>9858.5840000000007</v>
      </c>
      <c r="I11" s="693">
        <v>9411.8700000000008</v>
      </c>
      <c r="J11" s="79">
        <f t="shared" si="3"/>
        <v>446.71399999999994</v>
      </c>
      <c r="K11" s="73">
        <f t="shared" si="4"/>
        <v>1012.3099999999995</v>
      </c>
      <c r="L11" s="73">
        <f t="shared" si="0"/>
        <v>1459.0199999999986</v>
      </c>
      <c r="M11" s="79">
        <f t="shared" si="1"/>
        <v>-446.70999999999913</v>
      </c>
    </row>
    <row r="12" spans="1:16" x14ac:dyDescent="0.25">
      <c r="A12" s="71" t="s">
        <v>130</v>
      </c>
      <c r="B12" s="661">
        <v>13</v>
      </c>
      <c r="C12" s="822">
        <v>11</v>
      </c>
      <c r="D12" s="159">
        <v>2</v>
      </c>
      <c r="E12" s="73">
        <v>209189.09974999999</v>
      </c>
      <c r="F12" s="662">
        <v>159744.47</v>
      </c>
      <c r="G12" s="79">
        <f t="shared" si="2"/>
        <v>49444.629749999993</v>
      </c>
      <c r="H12" s="695">
        <v>164353.73028333334</v>
      </c>
      <c r="I12" s="693">
        <v>125612.58</v>
      </c>
      <c r="J12" s="79">
        <f t="shared" si="3"/>
        <v>38741.150283333336</v>
      </c>
      <c r="K12" s="73">
        <f t="shared" si="4"/>
        <v>44835.369466666656</v>
      </c>
      <c r="L12" s="73">
        <f t="shared" si="0"/>
        <v>34131.89</v>
      </c>
      <c r="M12" s="79">
        <f t="shared" si="1"/>
        <v>10703.479466666657</v>
      </c>
    </row>
    <row r="13" spans="1:16" x14ac:dyDescent="0.25">
      <c r="A13" s="71" t="s">
        <v>152</v>
      </c>
      <c r="B13" s="661">
        <v>1</v>
      </c>
      <c r="C13" s="822">
        <v>1</v>
      </c>
      <c r="D13" s="159">
        <v>0</v>
      </c>
      <c r="E13" s="73">
        <v>685.45825000000002</v>
      </c>
      <c r="F13" s="662">
        <v>685.45</v>
      </c>
      <c r="G13" s="79">
        <f t="shared" si="2"/>
        <v>8.2499999999754436E-3</v>
      </c>
      <c r="H13" s="695">
        <v>125.66734583333334</v>
      </c>
      <c r="I13" s="693">
        <v>57.12</v>
      </c>
      <c r="J13" s="79">
        <f t="shared" si="3"/>
        <v>68.547345833333338</v>
      </c>
      <c r="K13" s="73">
        <f t="shared" si="4"/>
        <v>559.79090416666668</v>
      </c>
      <c r="L13" s="73">
        <f t="shared" si="0"/>
        <v>628.33000000000004</v>
      </c>
      <c r="M13" s="79">
        <f t="shared" si="1"/>
        <v>-68.539095833333363</v>
      </c>
    </row>
    <row r="14" spans="1:16" x14ac:dyDescent="0.25">
      <c r="A14" s="71" t="s">
        <v>153</v>
      </c>
      <c r="B14" s="661">
        <v>12</v>
      </c>
      <c r="C14" s="822">
        <v>10</v>
      </c>
      <c r="D14" s="159">
        <v>2</v>
      </c>
      <c r="E14" s="73">
        <v>2389.8053599999998</v>
      </c>
      <c r="F14" s="662">
        <v>803.32535999999993</v>
      </c>
      <c r="G14" s="79">
        <f t="shared" si="2"/>
        <v>1586.48</v>
      </c>
      <c r="H14" s="695">
        <v>268.73048533333332</v>
      </c>
      <c r="I14" s="693">
        <v>182.99</v>
      </c>
      <c r="J14" s="79">
        <f t="shared" si="3"/>
        <v>85.740485333333311</v>
      </c>
      <c r="K14" s="73">
        <f t="shared" si="4"/>
        <v>2121.0748746666663</v>
      </c>
      <c r="L14" s="73">
        <f t="shared" si="0"/>
        <v>620.33535999999992</v>
      </c>
      <c r="M14" s="79">
        <f t="shared" si="1"/>
        <v>1500.7395146666663</v>
      </c>
    </row>
    <row r="15" spans="1:16" x14ac:dyDescent="0.25">
      <c r="A15" s="71" t="s">
        <v>154</v>
      </c>
      <c r="B15" s="661">
        <v>24</v>
      </c>
      <c r="C15" s="822">
        <v>24</v>
      </c>
      <c r="D15" s="159">
        <v>0</v>
      </c>
      <c r="E15" s="73">
        <v>3458.1133</v>
      </c>
      <c r="F15" s="662">
        <v>3458.11</v>
      </c>
      <c r="G15" s="79">
        <f t="shared" si="2"/>
        <v>3.2999999998537533E-3</v>
      </c>
      <c r="H15" s="695">
        <v>2909.7769000000003</v>
      </c>
      <c r="I15" s="693">
        <v>2727</v>
      </c>
      <c r="J15" s="79">
        <f t="shared" si="3"/>
        <v>182.7769000000003</v>
      </c>
      <c r="K15" s="73">
        <f t="shared" si="4"/>
        <v>548.33639999999968</v>
      </c>
      <c r="L15" s="73">
        <f t="shared" si="0"/>
        <v>731.11000000000013</v>
      </c>
      <c r="M15" s="79">
        <f t="shared" si="1"/>
        <v>-182.77360000000044</v>
      </c>
    </row>
    <row r="16" spans="1:16" x14ac:dyDescent="0.25">
      <c r="A16" s="71" t="s">
        <v>155</v>
      </c>
      <c r="B16" s="661">
        <v>87</v>
      </c>
      <c r="C16" s="822">
        <v>85</v>
      </c>
      <c r="D16" s="159">
        <v>2</v>
      </c>
      <c r="E16" s="73">
        <v>23129.7437703</v>
      </c>
      <c r="F16" s="662">
        <v>22576.099770000001</v>
      </c>
      <c r="G16" s="79">
        <f t="shared" si="2"/>
        <v>553.64400029999888</v>
      </c>
      <c r="H16" s="694">
        <v>12422.166531149993</v>
      </c>
      <c r="I16" s="693">
        <v>9867.27</v>
      </c>
      <c r="J16" s="79">
        <f t="shared" si="3"/>
        <v>2554.8965311499924</v>
      </c>
      <c r="K16" s="663">
        <f>E16-H16</f>
        <v>10707.577239150007</v>
      </c>
      <c r="L16" s="73">
        <f t="shared" si="0"/>
        <v>12708.82977</v>
      </c>
      <c r="M16" s="79">
        <f t="shared" si="1"/>
        <v>-2001.2525308499935</v>
      </c>
      <c r="P16" t="s">
        <v>684</v>
      </c>
    </row>
    <row r="17" spans="1:15" x14ac:dyDescent="0.25">
      <c r="A17" s="71" t="s">
        <v>156</v>
      </c>
      <c r="B17" s="661">
        <v>1</v>
      </c>
      <c r="C17" s="822">
        <v>1</v>
      </c>
      <c r="D17" s="159">
        <v>0</v>
      </c>
      <c r="E17" s="73">
        <v>5304.7359999999999</v>
      </c>
      <c r="F17" s="662">
        <v>5304.74</v>
      </c>
      <c r="G17" s="79">
        <f t="shared" si="2"/>
        <v>-3.9999999999054126E-3</v>
      </c>
      <c r="H17" s="695">
        <v>795.71039999999994</v>
      </c>
      <c r="I17" s="693">
        <v>265.24</v>
      </c>
      <c r="J17" s="79">
        <f t="shared" si="3"/>
        <v>530.47039999999993</v>
      </c>
      <c r="K17" s="73">
        <f t="shared" si="4"/>
        <v>4509.0255999999999</v>
      </c>
      <c r="L17" s="73">
        <f t="shared" si="0"/>
        <v>5039.5</v>
      </c>
      <c r="M17" s="79">
        <f t="shared" si="1"/>
        <v>-530.47440000000006</v>
      </c>
    </row>
    <row r="18" spans="1:15" x14ac:dyDescent="0.25">
      <c r="A18" s="71" t="s">
        <v>157</v>
      </c>
      <c r="B18" s="661">
        <v>134</v>
      </c>
      <c r="C18" s="822">
        <v>131</v>
      </c>
      <c r="D18" s="159">
        <v>3</v>
      </c>
      <c r="E18" s="362">
        <v>17971.58527</v>
      </c>
      <c r="F18" s="662">
        <v>17592.36</v>
      </c>
      <c r="G18" s="79">
        <f t="shared" si="2"/>
        <v>379.225269999999</v>
      </c>
      <c r="H18" s="695">
        <v>12647.565409999999</v>
      </c>
      <c r="I18" s="693">
        <v>11349.07</v>
      </c>
      <c r="J18" s="79">
        <f t="shared" si="3"/>
        <v>1298.4954099999995</v>
      </c>
      <c r="K18" s="73">
        <f t="shared" si="4"/>
        <v>5324.0198600000003</v>
      </c>
      <c r="L18" s="73">
        <f t="shared" si="0"/>
        <v>6243.2900000000009</v>
      </c>
      <c r="M18" s="79">
        <f t="shared" si="1"/>
        <v>-919.27014000000054</v>
      </c>
    </row>
    <row r="19" spans="1:15" x14ac:dyDescent="0.25">
      <c r="A19" s="71" t="s">
        <v>158</v>
      </c>
      <c r="B19" s="661">
        <v>71</v>
      </c>
      <c r="C19" s="822">
        <v>59</v>
      </c>
      <c r="D19" s="159">
        <v>12</v>
      </c>
      <c r="E19" s="362">
        <v>15362.167369999999</v>
      </c>
      <c r="F19" s="662">
        <v>12381.25</v>
      </c>
      <c r="G19" s="79">
        <f t="shared" si="2"/>
        <v>2980.9173699999992</v>
      </c>
      <c r="H19" s="695">
        <v>8037.2262589999964</v>
      </c>
      <c r="I19" s="693">
        <v>6683.04</v>
      </c>
      <c r="J19" s="79">
        <f t="shared" si="3"/>
        <v>1354.1862589999964</v>
      </c>
      <c r="K19" s="73">
        <f t="shared" si="4"/>
        <v>7324.9411110000028</v>
      </c>
      <c r="L19" s="73">
        <f t="shared" si="0"/>
        <v>5698.21</v>
      </c>
      <c r="M19" s="79">
        <f t="shared" si="1"/>
        <v>1626.7311110000028</v>
      </c>
    </row>
    <row r="20" spans="1:15" x14ac:dyDescent="0.25">
      <c r="A20" s="71" t="s">
        <v>159</v>
      </c>
      <c r="B20" s="661">
        <v>109</v>
      </c>
      <c r="C20" s="822">
        <v>99</v>
      </c>
      <c r="D20" s="159">
        <v>10</v>
      </c>
      <c r="E20" s="362">
        <v>10704.672920000001</v>
      </c>
      <c r="F20" s="662">
        <v>9555.86</v>
      </c>
      <c r="G20" s="79">
        <f t="shared" si="2"/>
        <v>1148.8129200000003</v>
      </c>
      <c r="H20" s="695">
        <v>5753.5194036666617</v>
      </c>
      <c r="I20" s="693">
        <v>4883.71</v>
      </c>
      <c r="J20" s="79">
        <f t="shared" si="3"/>
        <v>869.80940366666164</v>
      </c>
      <c r="K20" s="663">
        <f t="shared" si="4"/>
        <v>4951.1535163333392</v>
      </c>
      <c r="L20" s="73">
        <f t="shared" si="0"/>
        <v>4672.1500000000005</v>
      </c>
      <c r="M20" s="79">
        <f t="shared" si="1"/>
        <v>279.00351633333867</v>
      </c>
    </row>
    <row r="21" spans="1:15" x14ac:dyDescent="0.25">
      <c r="A21" s="71" t="s">
        <v>160</v>
      </c>
      <c r="B21" s="661">
        <v>26</v>
      </c>
      <c r="C21" s="822">
        <v>22</v>
      </c>
      <c r="D21" s="159">
        <v>6</v>
      </c>
      <c r="E21" s="73">
        <v>24505.955000000002</v>
      </c>
      <c r="F21" s="662">
        <v>19490.95</v>
      </c>
      <c r="G21" s="79">
        <f t="shared" si="2"/>
        <v>5015.005000000001</v>
      </c>
      <c r="H21" s="695">
        <v>11841.940833333334</v>
      </c>
      <c r="I21" s="693">
        <v>8728.94</v>
      </c>
      <c r="J21" s="79">
        <f t="shared" si="3"/>
        <v>3113.0008333333335</v>
      </c>
      <c r="K21" s="663">
        <f t="shared" si="4"/>
        <v>12664.014166666668</v>
      </c>
      <c r="L21" s="73">
        <f t="shared" si="0"/>
        <v>10762.01</v>
      </c>
      <c r="M21" s="79">
        <f t="shared" si="1"/>
        <v>1902.0041666666675</v>
      </c>
    </row>
    <row r="22" spans="1:15" x14ac:dyDescent="0.25">
      <c r="A22" s="71" t="s">
        <v>161</v>
      </c>
      <c r="B22" s="661">
        <v>26</v>
      </c>
      <c r="C22" s="822">
        <v>21</v>
      </c>
      <c r="D22" s="159">
        <v>5</v>
      </c>
      <c r="E22" s="73">
        <v>9938.6803357000008</v>
      </c>
      <c r="F22" s="662">
        <v>8129.16</v>
      </c>
      <c r="G22" s="79">
        <f t="shared" si="2"/>
        <v>1809.5203357000009</v>
      </c>
      <c r="H22" s="695">
        <v>5198.7597930616648</v>
      </c>
      <c r="I22" s="693">
        <v>3869.37</v>
      </c>
      <c r="J22" s="79">
        <f t="shared" si="3"/>
        <v>1329.3897930616649</v>
      </c>
      <c r="K22" s="73">
        <f t="shared" si="4"/>
        <v>4739.920542638336</v>
      </c>
      <c r="L22" s="73">
        <f t="shared" si="0"/>
        <v>4259.79</v>
      </c>
      <c r="M22" s="79">
        <f t="shared" si="1"/>
        <v>480.13054263833601</v>
      </c>
    </row>
    <row r="23" spans="1:15" x14ac:dyDescent="0.25">
      <c r="A23" s="71" t="s">
        <v>162</v>
      </c>
      <c r="B23" s="661">
        <v>109</v>
      </c>
      <c r="C23" s="822">
        <v>103</v>
      </c>
      <c r="D23" s="159">
        <v>6</v>
      </c>
      <c r="E23" s="73">
        <v>67918.503498999999</v>
      </c>
      <c r="F23" s="662">
        <v>62424.67</v>
      </c>
      <c r="G23" s="79">
        <f t="shared" si="2"/>
        <v>5493.8334990000003</v>
      </c>
      <c r="H23" s="695">
        <v>53494.473563646672</v>
      </c>
      <c r="I23" s="693">
        <v>46124.78</v>
      </c>
      <c r="J23" s="79">
        <f t="shared" si="3"/>
        <v>7369.6935636466733</v>
      </c>
      <c r="K23" s="73">
        <f t="shared" si="4"/>
        <v>14424.029935353326</v>
      </c>
      <c r="L23" s="73">
        <f t="shared" si="0"/>
        <v>16299.89</v>
      </c>
      <c r="M23" s="79">
        <f t="shared" si="1"/>
        <v>-1875.860064646673</v>
      </c>
    </row>
    <row r="24" spans="1:15" x14ac:dyDescent="0.25">
      <c r="A24" s="71" t="s">
        <v>163</v>
      </c>
      <c r="B24" s="661">
        <v>43</v>
      </c>
      <c r="C24" s="822">
        <v>38</v>
      </c>
      <c r="D24" s="159">
        <v>4</v>
      </c>
      <c r="E24" s="691">
        <v>19806.138132599994</v>
      </c>
      <c r="F24" s="662">
        <v>18223.73</v>
      </c>
      <c r="G24" s="79">
        <f t="shared" si="2"/>
        <v>1582.4081325999941</v>
      </c>
      <c r="H24" s="695">
        <v>15715.56707329333</v>
      </c>
      <c r="I24" s="693">
        <v>13621.68</v>
      </c>
      <c r="J24" s="79">
        <f t="shared" si="3"/>
        <v>2093.8870732933301</v>
      </c>
      <c r="K24" s="73">
        <f t="shared" si="4"/>
        <v>4090.5710593066633</v>
      </c>
      <c r="L24" s="73">
        <f t="shared" si="0"/>
        <v>4602.0499999999993</v>
      </c>
      <c r="M24" s="79">
        <f t="shared" si="1"/>
        <v>-511.47894069333597</v>
      </c>
    </row>
    <row r="25" spans="1:15" x14ac:dyDescent="0.25">
      <c r="A25" s="71" t="s">
        <v>164</v>
      </c>
      <c r="B25" s="661">
        <v>89</v>
      </c>
      <c r="C25" s="822">
        <v>81</v>
      </c>
      <c r="D25" s="159">
        <v>8</v>
      </c>
      <c r="E25" s="73">
        <v>9466.2027357999996</v>
      </c>
      <c r="F25" s="662">
        <v>8849.61</v>
      </c>
      <c r="G25" s="79">
        <f t="shared" si="2"/>
        <v>616.59273579999899</v>
      </c>
      <c r="H25" s="695">
        <v>7331.2611428733335</v>
      </c>
      <c r="I25" s="693">
        <v>6515.07</v>
      </c>
      <c r="J25" s="79">
        <f t="shared" si="3"/>
        <v>816.19114287333377</v>
      </c>
      <c r="K25" s="73">
        <f t="shared" si="4"/>
        <v>2134.9415929266661</v>
      </c>
      <c r="L25" s="73">
        <f t="shared" si="0"/>
        <v>2334.5400000000009</v>
      </c>
      <c r="M25" s="79">
        <f t="shared" si="1"/>
        <v>-199.59840707333478</v>
      </c>
    </row>
    <row r="26" spans="1:15" x14ac:dyDescent="0.25">
      <c r="A26" s="71" t="s">
        <v>165</v>
      </c>
      <c r="B26" s="661">
        <v>13</v>
      </c>
      <c r="C26" s="822">
        <v>12</v>
      </c>
      <c r="D26" s="159">
        <v>1</v>
      </c>
      <c r="E26" s="73">
        <v>1324.2346480000001</v>
      </c>
      <c r="F26" s="662">
        <v>1260.96065</v>
      </c>
      <c r="G26" s="79">
        <f t="shared" si="2"/>
        <v>63.27399800000012</v>
      </c>
      <c r="H26" s="695">
        <v>1171.6073110952382</v>
      </c>
      <c r="I26" s="693">
        <v>1093.26</v>
      </c>
      <c r="J26" s="79">
        <f t="shared" si="3"/>
        <v>78.347311095238183</v>
      </c>
      <c r="K26" s="73">
        <f t="shared" si="4"/>
        <v>152.62733690476193</v>
      </c>
      <c r="L26" s="73">
        <f t="shared" si="0"/>
        <v>167.70065</v>
      </c>
      <c r="M26" s="79">
        <f t="shared" si="1"/>
        <v>-15.073313095238063</v>
      </c>
    </row>
    <row r="27" spans="1:15" x14ac:dyDescent="0.25">
      <c r="A27" s="71" t="s">
        <v>211</v>
      </c>
      <c r="B27" s="661">
        <v>54</v>
      </c>
      <c r="C27" s="822">
        <v>48</v>
      </c>
      <c r="D27" s="159">
        <v>6</v>
      </c>
      <c r="E27" s="73">
        <v>15606.8021085</v>
      </c>
      <c r="F27" s="662">
        <v>8565.4599999999991</v>
      </c>
      <c r="G27" s="79">
        <f t="shared" si="2"/>
        <v>7041.3421085000009</v>
      </c>
      <c r="H27" s="695">
        <v>7256.9768629233349</v>
      </c>
      <c r="I27" s="693">
        <v>5224.59</v>
      </c>
      <c r="J27" s="79">
        <f t="shared" si="3"/>
        <v>2032.3868629233348</v>
      </c>
      <c r="K27" s="73">
        <f t="shared" si="4"/>
        <v>8349.8252455766651</v>
      </c>
      <c r="L27" s="73">
        <f t="shared" si="0"/>
        <v>3340.869999999999</v>
      </c>
      <c r="M27" s="79">
        <f t="shared" si="1"/>
        <v>5008.9552455766661</v>
      </c>
    </row>
    <row r="28" spans="1:15" x14ac:dyDescent="0.25">
      <c r="A28" s="71" t="s">
        <v>307</v>
      </c>
      <c r="B28" s="661">
        <v>2</v>
      </c>
      <c r="C28" s="822">
        <v>0</v>
      </c>
      <c r="D28" s="159">
        <v>2</v>
      </c>
      <c r="E28" s="73">
        <v>12633.214120000001</v>
      </c>
      <c r="F28" s="662">
        <v>0</v>
      </c>
      <c r="G28" s="79">
        <f t="shared" si="2"/>
        <v>12633.214120000001</v>
      </c>
      <c r="H28" s="695">
        <v>1894.9821179999997</v>
      </c>
      <c r="I28" s="693">
        <v>0</v>
      </c>
      <c r="J28" s="79">
        <f t="shared" si="3"/>
        <v>1894.9821179999997</v>
      </c>
      <c r="K28" s="73">
        <f t="shared" si="4"/>
        <v>10738.232002000001</v>
      </c>
      <c r="L28" s="73">
        <f t="shared" si="0"/>
        <v>0</v>
      </c>
      <c r="M28" s="79">
        <f t="shared" si="1"/>
        <v>10738.232002000001</v>
      </c>
    </row>
    <row r="29" spans="1:15" x14ac:dyDescent="0.25">
      <c r="A29" s="71" t="s">
        <v>166</v>
      </c>
      <c r="B29" s="661">
        <v>22</v>
      </c>
      <c r="C29" s="822">
        <v>20</v>
      </c>
      <c r="D29" s="159">
        <v>2</v>
      </c>
      <c r="E29" s="73">
        <v>1560.6320000000001</v>
      </c>
      <c r="F29" s="662">
        <v>1350.6320000000001</v>
      </c>
      <c r="G29" s="79">
        <f t="shared" si="2"/>
        <v>210</v>
      </c>
      <c r="H29" s="695">
        <v>228.10182222222227</v>
      </c>
      <c r="I29" s="693">
        <v>127.56</v>
      </c>
      <c r="J29" s="79">
        <f t="shared" si="3"/>
        <v>100.54182222222227</v>
      </c>
      <c r="K29" s="73">
        <f t="shared" si="4"/>
        <v>1332.5301777777777</v>
      </c>
      <c r="L29" s="73">
        <f t="shared" si="0"/>
        <v>1223.0720000000001</v>
      </c>
      <c r="M29" s="79">
        <f t="shared" si="1"/>
        <v>109.45817777777756</v>
      </c>
    </row>
    <row r="30" spans="1:15" x14ac:dyDescent="0.25">
      <c r="A30" s="71" t="s">
        <v>167</v>
      </c>
      <c r="B30" s="661">
        <v>1</v>
      </c>
      <c r="C30" s="822">
        <v>1</v>
      </c>
      <c r="D30" s="159">
        <v>0</v>
      </c>
      <c r="E30" s="73">
        <v>225</v>
      </c>
      <c r="F30" s="662">
        <v>225</v>
      </c>
      <c r="G30" s="79">
        <f t="shared" si="2"/>
        <v>0</v>
      </c>
      <c r="H30" s="695">
        <v>213.75</v>
      </c>
      <c r="I30" s="693">
        <v>202.5</v>
      </c>
      <c r="J30" s="79">
        <f t="shared" si="3"/>
        <v>11.25</v>
      </c>
      <c r="K30" s="73">
        <f t="shared" si="4"/>
        <v>11.25</v>
      </c>
      <c r="L30" s="73">
        <f t="shared" si="0"/>
        <v>22.5</v>
      </c>
      <c r="M30" s="79">
        <f t="shared" si="1"/>
        <v>-11.25</v>
      </c>
    </row>
    <row r="31" spans="1:15" ht="26.25" x14ac:dyDescent="0.25">
      <c r="A31" s="71" t="s">
        <v>168</v>
      </c>
      <c r="B31" s="661">
        <v>3</v>
      </c>
      <c r="C31" s="822">
        <v>2</v>
      </c>
      <c r="D31" s="159">
        <v>1</v>
      </c>
      <c r="E31" s="73">
        <v>1318.8669199999999</v>
      </c>
      <c r="F31" s="662">
        <v>758.24</v>
      </c>
      <c r="G31" s="79">
        <f t="shared" si="2"/>
        <v>560.62691999999993</v>
      </c>
      <c r="H31" s="695">
        <v>1027.6232749999999</v>
      </c>
      <c r="I31" s="693">
        <v>425.34</v>
      </c>
      <c r="J31" s="79">
        <f t="shared" si="3"/>
        <v>602.283275</v>
      </c>
      <c r="K31" s="73">
        <f t="shared" si="4"/>
        <v>291.24364500000001</v>
      </c>
      <c r="L31" s="73">
        <f t="shared" si="0"/>
        <v>332.90000000000003</v>
      </c>
      <c r="M31" s="79">
        <f t="shared" si="1"/>
        <v>-41.656355000000019</v>
      </c>
      <c r="O31" t="s">
        <v>20</v>
      </c>
    </row>
    <row r="32" spans="1:15" x14ac:dyDescent="0.25">
      <c r="A32" s="71" t="s">
        <v>169</v>
      </c>
      <c r="B32" s="661">
        <v>11</v>
      </c>
      <c r="C32" s="822">
        <v>11</v>
      </c>
      <c r="D32" s="159">
        <v>0</v>
      </c>
      <c r="E32" s="73">
        <v>1551.35788</v>
      </c>
      <c r="F32" s="662">
        <v>1551.35789</v>
      </c>
      <c r="G32" s="79">
        <f t="shared" si="2"/>
        <v>-9.9999999747524271E-6</v>
      </c>
      <c r="H32" s="695">
        <v>1207.1310404166668</v>
      </c>
      <c r="I32" s="693">
        <v>1076.3</v>
      </c>
      <c r="J32" s="79">
        <f t="shared" si="3"/>
        <v>130.83104041666684</v>
      </c>
      <c r="K32" s="73">
        <f t="shared" si="4"/>
        <v>344.22683958333323</v>
      </c>
      <c r="L32" s="73">
        <f t="shared" si="0"/>
        <v>475.05789000000004</v>
      </c>
      <c r="M32" s="79">
        <f t="shared" si="1"/>
        <v>-130.83105041666681</v>
      </c>
    </row>
    <row r="33" spans="1:13" ht="15.75" thickBot="1" x14ac:dyDescent="0.3">
      <c r="A33" s="74" t="s">
        <v>170</v>
      </c>
      <c r="B33" s="661">
        <v>14</v>
      </c>
      <c r="C33" s="822">
        <v>14</v>
      </c>
      <c r="D33" s="159">
        <v>0</v>
      </c>
      <c r="E33" s="73">
        <v>3870.3521799999999</v>
      </c>
      <c r="F33" s="662">
        <v>3870.35</v>
      </c>
      <c r="G33" s="79">
        <f t="shared" si="2"/>
        <v>2.1799999999529973E-3</v>
      </c>
      <c r="H33" s="695">
        <v>2227.3416050000001</v>
      </c>
      <c r="I33" s="693">
        <v>1883.27</v>
      </c>
      <c r="J33" s="79">
        <f t="shared" si="3"/>
        <v>344.07160500000009</v>
      </c>
      <c r="K33" s="73">
        <f t="shared" si="4"/>
        <v>1643.0105749999998</v>
      </c>
      <c r="L33" s="73">
        <f t="shared" si="0"/>
        <v>1987.08</v>
      </c>
      <c r="M33" s="79">
        <f t="shared" si="1"/>
        <v>-344.06942500000014</v>
      </c>
    </row>
    <row r="34" spans="1:13" ht="15.75" thickBot="1" x14ac:dyDescent="0.3">
      <c r="A34" s="76" t="s">
        <v>238</v>
      </c>
      <c r="B34" s="77">
        <f>SUM(B3:B33)</f>
        <v>1012</v>
      </c>
      <c r="C34" s="77">
        <f>SUM(C3:C33)</f>
        <v>915</v>
      </c>
      <c r="D34" s="161">
        <v>98</v>
      </c>
      <c r="E34" s="692">
        <f>SUM(E3:E33)</f>
        <v>4103203.6836524</v>
      </c>
      <c r="F34" s="78">
        <f>SUM(F3:F33)</f>
        <v>3706727.6772000012</v>
      </c>
      <c r="G34" s="162">
        <f>SUM(G3:G33)</f>
        <v>396476.00645240012</v>
      </c>
      <c r="H34" s="692">
        <f>SUM(H3:H33)</f>
        <v>1847343.4226681816</v>
      </c>
      <c r="I34" s="841">
        <f t="shared" ref="I34:M34" si="6">SUM(I3:I33)</f>
        <v>1804865.2700000007</v>
      </c>
      <c r="J34" s="843">
        <f t="shared" si="6"/>
        <v>42478.152668181552</v>
      </c>
      <c r="K34" s="692">
        <f>SUM(K3:K33)</f>
        <v>2255860.2609842173</v>
      </c>
      <c r="L34" s="692">
        <f t="shared" si="6"/>
        <v>1901862.4071999998</v>
      </c>
      <c r="M34" s="692">
        <f t="shared" si="6"/>
        <v>353997.85378421831</v>
      </c>
    </row>
    <row r="35" spans="1:13" x14ac:dyDescent="0.25">
      <c r="E35" s="4"/>
      <c r="H35" s="4"/>
      <c r="K35" s="200"/>
      <c r="L35" s="200"/>
      <c r="M35" s="200"/>
    </row>
    <row r="36" spans="1:13" x14ac:dyDescent="0.25">
      <c r="E36" s="4"/>
    </row>
    <row r="37" spans="1:13" x14ac:dyDescent="0.25">
      <c r="E37" s="4"/>
    </row>
    <row r="38" spans="1:13" x14ac:dyDescent="0.25">
      <c r="E38" s="4"/>
    </row>
    <row r="39" spans="1:13" x14ac:dyDescent="0.25">
      <c r="E39" s="4"/>
    </row>
  </sheetData>
  <protectedRanges>
    <protectedRange sqref="A13" name="Rango1_2_1"/>
    <protectedRange sqref="E5" name="Rango1"/>
    <protectedRange sqref="E10" name="Rango1_1"/>
    <protectedRange sqref="E8" name="Rango1_2"/>
    <protectedRange sqref="E6" name="Rango1_3"/>
    <protectedRange sqref="E7" name="Rango1_4"/>
    <protectedRange sqref="E9" name="Rango1_5"/>
    <protectedRange sqref="E11" name="Rango1_6"/>
    <protectedRange sqref="E12" name="Rango1_7"/>
    <protectedRange sqref="E13" name="Rango1_8"/>
    <protectedRange sqref="E14" name="Rango1_9"/>
    <protectedRange sqref="E15" name="Rango1_10"/>
    <protectedRange sqref="E16" name="Rango1_11"/>
    <protectedRange sqref="E17" name="Rango1_12"/>
    <protectedRange sqref="E18" name="Rango1_13"/>
    <protectedRange sqref="E19" name="Rango1_14"/>
    <protectedRange sqref="E20" name="Rango1_15"/>
    <protectedRange sqref="E21" name="Rango1_16"/>
    <protectedRange sqref="E22" name="Rango1_17"/>
    <protectedRange sqref="E28 E23" name="Rango1_18"/>
    <protectedRange sqref="E24" name="Rango1_19"/>
    <protectedRange sqref="E25" name="Rango1_20"/>
    <protectedRange sqref="E26" name="Rango1_21"/>
    <protectedRange sqref="E27" name="Rango1_22"/>
    <protectedRange sqref="E29" name="Rango1_23"/>
    <protectedRange sqref="E30" name="Rango1_24"/>
    <protectedRange sqref="E31" name="Rango1_25"/>
    <protectedRange sqref="E32" name="Rango1_26"/>
    <protectedRange sqref="E33" name="Rango1_27"/>
    <protectedRange sqref="I5" name="Rango1_1_27"/>
    <protectedRange sqref="I10" name="Rango1_1_28"/>
    <protectedRange sqref="I8" name="Rango1_1_29"/>
    <protectedRange sqref="I6" name="Rango1_1_30"/>
    <protectedRange sqref="I7" name="Rango1_1_31"/>
    <protectedRange sqref="I9" name="Rango1_1_32"/>
    <protectedRange sqref="I11" name="Rango1_1_33"/>
    <protectedRange sqref="I12" name="Rango1_1_34"/>
    <protectedRange sqref="I18" name="Rango1_1_38"/>
    <protectedRange sqref="I19" name="Rango1_1_39"/>
    <protectedRange sqref="I20" name="Rango1_1_40"/>
    <protectedRange sqref="I21" name="Rango1_1_41"/>
    <protectedRange sqref="I22" name="Rango1_1_42"/>
    <protectedRange sqref="I28 I23" name="Rango1_1_43"/>
    <protectedRange sqref="I24" name="Rango1_1_44"/>
    <protectedRange sqref="I25" name="Rango1_1_45"/>
    <protectedRange sqref="I26" name="Rango1_1_46"/>
    <protectedRange sqref="I27" name="Rango1_1_47"/>
    <protectedRange sqref="I29" name="Rango1_1_48"/>
    <protectedRange sqref="I30" name="Rango1_1_49"/>
    <protectedRange sqref="I31" name="Rango1_1_50"/>
    <protectedRange sqref="I32" name="Rango1_1_51"/>
    <protectedRange sqref="I33" name="Rango1_1_52"/>
    <protectedRange sqref="N26" name="Rango1_60"/>
    <protectedRange sqref="N27" name="Rango1_61"/>
    <protectedRange sqref="N29" name="Rango1_62"/>
    <protectedRange sqref="N30" name="Rango1_63"/>
    <protectedRange sqref="N31" name="Rango1_64"/>
    <protectedRange sqref="N32" name="Rango1_65"/>
    <protectedRange sqref="N33" name="Rango1_66"/>
    <protectedRange sqref="N34" name="Rango1_67"/>
    <protectedRange sqref="H16" name="Rango1_4_2"/>
    <protectedRange sqref="C13" name="Rango1_2_2"/>
    <protectedRange sqref="F6" name="Rango1_1_4_1"/>
  </protectedRange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L366"/>
  <sheetViews>
    <sheetView workbookViewId="0">
      <selection activeCell="J160" sqref="J160"/>
    </sheetView>
  </sheetViews>
  <sheetFormatPr baseColWidth="10" defaultColWidth="9.140625" defaultRowHeight="16.5" x14ac:dyDescent="0.3"/>
  <cols>
    <col min="1" max="1" width="3.85546875" style="616" bestFit="1" customWidth="1"/>
    <col min="2" max="2" width="55.140625" style="718" bestFit="1" customWidth="1"/>
    <col min="3" max="3" width="8.42578125" style="718" bestFit="1" customWidth="1"/>
    <col min="4" max="5" width="14.140625" style="719" bestFit="1" customWidth="1"/>
    <col min="6" max="6" width="11.140625" style="719" customWidth="1"/>
    <col min="7" max="16384" width="9.140625" style="616"/>
  </cols>
  <sheetData>
    <row r="1" spans="2:7" ht="54.75" thickBot="1" x14ac:dyDescent="0.3">
      <c r="B1" s="699" t="s">
        <v>578</v>
      </c>
      <c r="C1" s="700" t="s">
        <v>121</v>
      </c>
      <c r="D1" s="701" t="s">
        <v>122</v>
      </c>
      <c r="E1" s="701" t="s">
        <v>689</v>
      </c>
      <c r="F1" s="701" t="s">
        <v>690</v>
      </c>
      <c r="G1" s="616" t="s">
        <v>622</v>
      </c>
    </row>
    <row r="2" spans="2:7" ht="15.75" hidden="1" thickBot="1" x14ac:dyDescent="0.3">
      <c r="B2" s="491" t="s">
        <v>381</v>
      </c>
      <c r="C2" s="702">
        <v>1</v>
      </c>
      <c r="D2" s="492">
        <v>11130000</v>
      </c>
      <c r="E2" s="484">
        <v>11130000</v>
      </c>
      <c r="F2" s="485">
        <f>+D2-E2</f>
        <v>0</v>
      </c>
    </row>
    <row r="3" spans="2:7" ht="15.75" hidden="1" thickBot="1" x14ac:dyDescent="0.3">
      <c r="B3" s="943" t="s">
        <v>382</v>
      </c>
      <c r="C3" s="697">
        <v>2</v>
      </c>
      <c r="D3" s="944">
        <v>26829513.899999999</v>
      </c>
      <c r="E3" s="945">
        <v>26829513.899999999</v>
      </c>
      <c r="F3" s="485">
        <f t="shared" ref="F3:F16" si="0">+D3-E3</f>
        <v>0</v>
      </c>
    </row>
    <row r="4" spans="2:7" ht="15.75" hidden="1" thickBot="1" x14ac:dyDescent="0.3">
      <c r="B4" s="943" t="s">
        <v>383</v>
      </c>
      <c r="C4" s="697">
        <v>3</v>
      </c>
      <c r="D4" s="944">
        <v>141733760</v>
      </c>
      <c r="E4" s="945">
        <v>141733760</v>
      </c>
      <c r="F4" s="485">
        <f t="shared" si="0"/>
        <v>0</v>
      </c>
    </row>
    <row r="5" spans="2:7" ht="15.75" hidden="1" thickBot="1" x14ac:dyDescent="0.3">
      <c r="B5" s="943" t="s">
        <v>384</v>
      </c>
      <c r="C5" s="697">
        <v>4</v>
      </c>
      <c r="D5" s="944">
        <v>62529600</v>
      </c>
      <c r="E5" s="945">
        <v>62529600</v>
      </c>
      <c r="F5" s="485">
        <f t="shared" si="0"/>
        <v>0</v>
      </c>
    </row>
    <row r="6" spans="2:7" ht="15.75" hidden="1" thickBot="1" x14ac:dyDescent="0.3">
      <c r="B6" s="943" t="s">
        <v>385</v>
      </c>
      <c r="C6" s="697">
        <v>5</v>
      </c>
      <c r="D6" s="944">
        <v>62529600</v>
      </c>
      <c r="E6" s="945">
        <v>62529600</v>
      </c>
      <c r="F6" s="485">
        <f t="shared" si="0"/>
        <v>0</v>
      </c>
    </row>
    <row r="7" spans="2:7" ht="15.75" hidden="1" thickBot="1" x14ac:dyDescent="0.3">
      <c r="B7" s="943" t="s">
        <v>386</v>
      </c>
      <c r="C7" s="697">
        <v>6</v>
      </c>
      <c r="D7" s="944">
        <v>40904780</v>
      </c>
      <c r="E7" s="945">
        <v>40904780</v>
      </c>
      <c r="F7" s="485">
        <f t="shared" si="0"/>
        <v>0</v>
      </c>
    </row>
    <row r="8" spans="2:7" ht="15.75" hidden="1" thickBot="1" x14ac:dyDescent="0.3">
      <c r="B8" s="946" t="s">
        <v>387</v>
      </c>
      <c r="C8" s="697">
        <v>7</v>
      </c>
      <c r="D8" s="944">
        <v>54452860</v>
      </c>
      <c r="E8" s="945">
        <v>54452860</v>
      </c>
      <c r="F8" s="485">
        <f t="shared" si="0"/>
        <v>0</v>
      </c>
    </row>
    <row r="9" spans="2:7" ht="15.75" hidden="1" thickBot="1" x14ac:dyDescent="0.3">
      <c r="B9" s="943" t="s">
        <v>388</v>
      </c>
      <c r="C9" s="697">
        <v>8</v>
      </c>
      <c r="D9" s="944">
        <v>62483375</v>
      </c>
      <c r="E9" s="945">
        <v>62483375</v>
      </c>
      <c r="F9" s="485">
        <f t="shared" si="0"/>
        <v>0</v>
      </c>
    </row>
    <row r="10" spans="2:7" ht="15.75" hidden="1" thickBot="1" x14ac:dyDescent="0.3">
      <c r="B10" s="943" t="s">
        <v>389</v>
      </c>
      <c r="C10" s="697">
        <v>9</v>
      </c>
      <c r="D10" s="944">
        <v>68836768</v>
      </c>
      <c r="E10" s="945">
        <v>68836768</v>
      </c>
      <c r="F10" s="485">
        <f t="shared" si="0"/>
        <v>0</v>
      </c>
    </row>
    <row r="11" spans="2:7" ht="15.75" hidden="1" thickBot="1" x14ac:dyDescent="0.3">
      <c r="B11" s="943" t="s">
        <v>390</v>
      </c>
      <c r="C11" s="697">
        <v>10</v>
      </c>
      <c r="D11" s="944">
        <v>28886858</v>
      </c>
      <c r="E11" s="945">
        <v>28886858</v>
      </c>
      <c r="F11" s="485">
        <f t="shared" si="0"/>
        <v>0</v>
      </c>
    </row>
    <row r="12" spans="2:7" ht="15.75" hidden="1" thickBot="1" x14ac:dyDescent="0.3">
      <c r="B12" s="943" t="s">
        <v>391</v>
      </c>
      <c r="C12" s="697">
        <v>11</v>
      </c>
      <c r="D12" s="944">
        <v>89398400</v>
      </c>
      <c r="E12" s="945">
        <v>89398400</v>
      </c>
      <c r="F12" s="485">
        <f t="shared" si="0"/>
        <v>0</v>
      </c>
    </row>
    <row r="13" spans="2:7" ht="15.75" hidden="1" thickBot="1" x14ac:dyDescent="0.3">
      <c r="B13" s="943" t="s">
        <v>392</v>
      </c>
      <c r="C13" s="697">
        <v>12</v>
      </c>
      <c r="D13" s="944">
        <v>89398400</v>
      </c>
      <c r="E13" s="945">
        <v>89398400</v>
      </c>
      <c r="F13" s="485">
        <f t="shared" si="0"/>
        <v>0</v>
      </c>
    </row>
    <row r="14" spans="2:7" ht="15.75" hidden="1" thickBot="1" x14ac:dyDescent="0.3">
      <c r="B14" s="946" t="s">
        <v>393</v>
      </c>
      <c r="C14" s="697">
        <v>13</v>
      </c>
      <c r="D14" s="944">
        <v>157000</v>
      </c>
      <c r="E14" s="945">
        <v>157000</v>
      </c>
      <c r="F14" s="485">
        <f t="shared" si="0"/>
        <v>0</v>
      </c>
    </row>
    <row r="15" spans="2:7" ht="15.75" hidden="1" thickBot="1" x14ac:dyDescent="0.3">
      <c r="B15" s="946" t="s">
        <v>394</v>
      </c>
      <c r="C15" s="697">
        <v>14</v>
      </c>
      <c r="D15" s="944">
        <v>113233120</v>
      </c>
      <c r="E15" s="487">
        <v>113233120</v>
      </c>
      <c r="F15" s="485">
        <f t="shared" si="0"/>
        <v>0</v>
      </c>
    </row>
    <row r="16" spans="2:7" ht="15.75" hidden="1" thickBot="1" x14ac:dyDescent="0.3">
      <c r="B16" s="493" t="s">
        <v>395</v>
      </c>
      <c r="C16" s="703">
        <v>15</v>
      </c>
      <c r="D16" s="495">
        <v>47770000</v>
      </c>
      <c r="E16" s="489">
        <v>47770000</v>
      </c>
      <c r="F16" s="485">
        <f t="shared" si="0"/>
        <v>0</v>
      </c>
    </row>
    <row r="17" spans="2:12" ht="15.75" thickBot="1" x14ac:dyDescent="0.3">
      <c r="B17" s="704" t="s">
        <v>579</v>
      </c>
      <c r="C17" s="705">
        <v>15</v>
      </c>
      <c r="D17" s="947">
        <f>SUM(D2:D16)</f>
        <v>900274034.89999998</v>
      </c>
      <c r="E17" s="706">
        <f t="shared" ref="E17:F17" si="1">SUM(E2:E16)</f>
        <v>900274034.89999998</v>
      </c>
      <c r="F17" s="707">
        <f t="shared" si="1"/>
        <v>0</v>
      </c>
      <c r="G17" s="616">
        <v>1</v>
      </c>
    </row>
    <row r="18" spans="2:12" ht="15.75" hidden="1" thickBot="1" x14ac:dyDescent="0.3">
      <c r="B18" s="494" t="s">
        <v>396</v>
      </c>
      <c r="C18" s="708">
        <v>1</v>
      </c>
      <c r="D18" s="709">
        <v>68445</v>
      </c>
      <c r="E18" s="489">
        <v>68445</v>
      </c>
      <c r="F18" s="490">
        <f>+D18-E18</f>
        <v>0</v>
      </c>
    </row>
    <row r="19" spans="2:12" ht="15.75" thickBot="1" x14ac:dyDescent="0.3">
      <c r="B19" s="704" t="s">
        <v>580</v>
      </c>
      <c r="C19" s="705">
        <v>1</v>
      </c>
      <c r="D19" s="947">
        <f>D18</f>
        <v>68445</v>
      </c>
      <c r="E19" s="706">
        <f t="shared" ref="E19" si="2">E18</f>
        <v>68445</v>
      </c>
      <c r="F19" s="707">
        <f>F18</f>
        <v>0</v>
      </c>
      <c r="G19" s="616">
        <v>1</v>
      </c>
      <c r="L19" s="616">
        <f>+C17+C19+C23+C25+C38+C41+C47+C71+C76+C140+C160+C179+C185+C188+C256+C357+C279+C330+C335+C346+C352</f>
        <v>317</v>
      </c>
    </row>
    <row r="20" spans="2:12" ht="15.75" hidden="1" thickBot="1" x14ac:dyDescent="0.3">
      <c r="B20" s="946" t="s">
        <v>397</v>
      </c>
      <c r="C20" s="698">
        <v>1</v>
      </c>
      <c r="D20" s="497">
        <v>143297</v>
      </c>
      <c r="E20" s="487">
        <v>143297</v>
      </c>
      <c r="F20" s="486">
        <f>+D20-E20</f>
        <v>0</v>
      </c>
    </row>
    <row r="21" spans="2:12" ht="15.75" hidden="1" thickBot="1" x14ac:dyDescent="0.3">
      <c r="B21" s="946" t="s">
        <v>398</v>
      </c>
      <c r="C21" s="697">
        <v>2</v>
      </c>
      <c r="D21" s="944">
        <v>55309</v>
      </c>
      <c r="E21" s="945">
        <v>55309</v>
      </c>
      <c r="F21" s="486">
        <f t="shared" ref="F21:F22" si="3">+D21-E21</f>
        <v>0</v>
      </c>
    </row>
    <row r="22" spans="2:12" ht="15.75" hidden="1" thickBot="1" x14ac:dyDescent="0.3">
      <c r="B22" s="946" t="s">
        <v>399</v>
      </c>
      <c r="C22" s="697">
        <v>3</v>
      </c>
      <c r="D22" s="945">
        <v>167919.55</v>
      </c>
      <c r="E22" s="945">
        <v>167919.55</v>
      </c>
      <c r="F22" s="486">
        <f t="shared" si="3"/>
        <v>0</v>
      </c>
    </row>
    <row r="23" spans="2:12" ht="15.75" hidden="1" thickBot="1" x14ac:dyDescent="0.3">
      <c r="B23" s="946" t="s">
        <v>691</v>
      </c>
      <c r="C23" s="697">
        <v>4</v>
      </c>
      <c r="D23" s="945">
        <v>5722500</v>
      </c>
      <c r="E23" s="945">
        <v>5722500</v>
      </c>
      <c r="F23" s="486">
        <f>+D23-E23</f>
        <v>0</v>
      </c>
      <c r="G23" s="616">
        <v>1</v>
      </c>
    </row>
    <row r="24" spans="2:12" ht="15.75" thickBot="1" x14ac:dyDescent="0.3">
      <c r="B24" s="948" t="s">
        <v>308</v>
      </c>
      <c r="C24" s="949">
        <v>4</v>
      </c>
      <c r="D24" s="947">
        <f>SUM(D20:D22)</f>
        <v>366525.55</v>
      </c>
      <c r="E24" s="706">
        <f t="shared" ref="E24" si="4">SUM(E20:E22)</f>
        <v>366525.55</v>
      </c>
      <c r="F24" s="707">
        <f>SUM(F20:F23)</f>
        <v>0</v>
      </c>
    </row>
    <row r="25" spans="2:12" ht="15.75" hidden="1" thickBot="1" x14ac:dyDescent="0.3">
      <c r="B25" s="494" t="s">
        <v>400</v>
      </c>
      <c r="C25" s="708">
        <v>1</v>
      </c>
      <c r="D25" s="709">
        <v>353314.5</v>
      </c>
      <c r="E25" s="489">
        <v>353314.5</v>
      </c>
      <c r="F25" s="490">
        <f>+D25-E25</f>
        <v>0</v>
      </c>
      <c r="G25" s="616">
        <v>1</v>
      </c>
    </row>
    <row r="26" spans="2:12" ht="15.75" thickBot="1" x14ac:dyDescent="0.3">
      <c r="B26" s="704" t="s">
        <v>309</v>
      </c>
      <c r="C26" s="705">
        <v>1</v>
      </c>
      <c r="D26" s="947">
        <f>D25</f>
        <v>353314.5</v>
      </c>
      <c r="E26" s="706">
        <f t="shared" ref="E26:F26" si="5">E25</f>
        <v>353314.5</v>
      </c>
      <c r="F26" s="711">
        <f t="shared" si="5"/>
        <v>0</v>
      </c>
    </row>
    <row r="27" spans="2:12" ht="15.75" hidden="1" thickBot="1" x14ac:dyDescent="0.3">
      <c r="B27" s="950" t="s">
        <v>396</v>
      </c>
      <c r="C27" s="696">
        <v>1</v>
      </c>
      <c r="D27" s="487">
        <v>68445</v>
      </c>
      <c r="E27" s="487">
        <v>68445</v>
      </c>
      <c r="F27" s="934">
        <f>+D27-E27</f>
        <v>0</v>
      </c>
    </row>
    <row r="28" spans="2:12" ht="15.75" thickBot="1" x14ac:dyDescent="0.3">
      <c r="B28" s="704" t="s">
        <v>692</v>
      </c>
      <c r="C28" s="705">
        <v>1</v>
      </c>
      <c r="D28" s="947"/>
      <c r="E28" s="706"/>
      <c r="F28" s="711"/>
      <c r="G28" s="616">
        <v>1</v>
      </c>
    </row>
    <row r="29" spans="2:12" ht="15.75" hidden="1" thickBot="1" x14ac:dyDescent="0.3">
      <c r="B29" s="499" t="s">
        <v>401</v>
      </c>
      <c r="C29" s="698">
        <v>1</v>
      </c>
      <c r="D29" s="487">
        <v>1323000</v>
      </c>
      <c r="E29" s="487">
        <v>1323000</v>
      </c>
      <c r="F29" s="945">
        <f t="shared" ref="F29:F35" si="6">+D29-E29</f>
        <v>0</v>
      </c>
    </row>
    <row r="30" spans="2:12" ht="15.75" hidden="1" thickBot="1" x14ac:dyDescent="0.3">
      <c r="B30" s="943" t="s">
        <v>401</v>
      </c>
      <c r="C30" s="697">
        <v>2</v>
      </c>
      <c r="D30" s="487">
        <v>1323000</v>
      </c>
      <c r="E30" s="487">
        <v>1323000</v>
      </c>
      <c r="F30" s="945">
        <f t="shared" si="6"/>
        <v>0</v>
      </c>
    </row>
    <row r="31" spans="2:12" ht="15.75" hidden="1" thickBot="1" x14ac:dyDescent="0.3">
      <c r="B31" s="943" t="s">
        <v>402</v>
      </c>
      <c r="C31" s="697">
        <v>3</v>
      </c>
      <c r="D31" s="487">
        <v>73036.67</v>
      </c>
      <c r="E31" s="487">
        <v>73036.67</v>
      </c>
      <c r="F31" s="945">
        <f t="shared" si="6"/>
        <v>0</v>
      </c>
    </row>
    <row r="32" spans="2:12" ht="15.75" hidden="1" thickBot="1" x14ac:dyDescent="0.3">
      <c r="B32" s="943" t="s">
        <v>621</v>
      </c>
      <c r="C32" s="698">
        <v>4</v>
      </c>
      <c r="D32" s="487">
        <v>132000</v>
      </c>
      <c r="E32" s="487">
        <v>132000</v>
      </c>
      <c r="F32" s="945">
        <f t="shared" si="6"/>
        <v>0</v>
      </c>
    </row>
    <row r="33" spans="2:7" ht="15.75" hidden="1" thickBot="1" x14ac:dyDescent="0.3">
      <c r="B33" s="943" t="s">
        <v>621</v>
      </c>
      <c r="C33" s="697">
        <v>5</v>
      </c>
      <c r="D33" s="487">
        <v>132000</v>
      </c>
      <c r="E33" s="487">
        <v>132000</v>
      </c>
      <c r="F33" s="945">
        <f t="shared" si="6"/>
        <v>0</v>
      </c>
    </row>
    <row r="34" spans="2:7" ht="15.75" hidden="1" thickBot="1" x14ac:dyDescent="0.3">
      <c r="B34" s="943" t="s">
        <v>403</v>
      </c>
      <c r="C34" s="697">
        <v>6</v>
      </c>
      <c r="D34" s="487">
        <v>456000</v>
      </c>
      <c r="E34" s="487">
        <v>456000</v>
      </c>
      <c r="F34" s="945">
        <f t="shared" si="6"/>
        <v>0</v>
      </c>
    </row>
    <row r="35" spans="2:7" ht="17.25" hidden="1" thickBot="1" x14ac:dyDescent="0.35">
      <c r="B35" s="951" t="s">
        <v>404</v>
      </c>
      <c r="C35" s="698">
        <v>7</v>
      </c>
      <c r="D35" s="487">
        <v>468636</v>
      </c>
      <c r="E35" s="487">
        <v>468636</v>
      </c>
      <c r="F35" s="945">
        <f t="shared" si="6"/>
        <v>0</v>
      </c>
    </row>
    <row r="36" spans="2:7" ht="17.25" hidden="1" thickBot="1" x14ac:dyDescent="0.35">
      <c r="B36" s="712" t="s">
        <v>404</v>
      </c>
      <c r="C36" s="697">
        <v>8</v>
      </c>
      <c r="D36" s="487">
        <v>468636</v>
      </c>
      <c r="E36" s="487">
        <v>468636</v>
      </c>
      <c r="F36" s="945">
        <f>+D36-E36</f>
        <v>0</v>
      </c>
    </row>
    <row r="37" spans="2:7" ht="17.25" thickBot="1" x14ac:dyDescent="0.35">
      <c r="B37" s="713" t="s">
        <v>581</v>
      </c>
      <c r="C37" s="705">
        <v>8</v>
      </c>
      <c r="D37" s="952">
        <f>SUM(D27:D36)</f>
        <v>4444753.67</v>
      </c>
      <c r="E37" s="714">
        <f>SUM(E27:E36)</f>
        <v>4444753.67</v>
      </c>
      <c r="F37" s="953">
        <f>SUM(F29:F36)</f>
        <v>0</v>
      </c>
    </row>
    <row r="38" spans="2:7" ht="15.75" hidden="1" thickBot="1" x14ac:dyDescent="0.3">
      <c r="B38" s="499" t="s">
        <v>405</v>
      </c>
      <c r="C38" s="698">
        <v>1</v>
      </c>
      <c r="D38" s="487">
        <v>2854224</v>
      </c>
      <c r="E38" s="487">
        <v>2854224</v>
      </c>
      <c r="F38" s="945">
        <f>+D38-E38</f>
        <v>0</v>
      </c>
      <c r="G38" s="616">
        <v>1</v>
      </c>
    </row>
    <row r="39" spans="2:7" ht="15.75" hidden="1" thickBot="1" x14ac:dyDescent="0.3">
      <c r="B39" s="954" t="s">
        <v>693</v>
      </c>
      <c r="C39" s="708">
        <v>2</v>
      </c>
      <c r="D39" s="487">
        <v>1365000</v>
      </c>
      <c r="E39" s="487">
        <v>1365000</v>
      </c>
      <c r="F39" s="945">
        <f>+D39-E39</f>
        <v>0</v>
      </c>
    </row>
    <row r="40" spans="2:7" ht="15.75" hidden="1" thickBot="1" x14ac:dyDescent="0.3">
      <c r="B40" s="500" t="s">
        <v>406</v>
      </c>
      <c r="C40" s="703">
        <v>3</v>
      </c>
      <c r="D40" s="487">
        <v>4263070</v>
      </c>
      <c r="E40" s="487">
        <v>4263070</v>
      </c>
      <c r="F40" s="945">
        <f>+D40-E40</f>
        <v>0</v>
      </c>
    </row>
    <row r="41" spans="2:7" ht="15.75" thickBot="1" x14ac:dyDescent="0.3">
      <c r="B41" s="704" t="s">
        <v>310</v>
      </c>
      <c r="C41" s="705">
        <v>3</v>
      </c>
      <c r="D41" s="947">
        <f>SUM(D38:D40)</f>
        <v>8482294</v>
      </c>
      <c r="E41" s="706">
        <f t="shared" ref="E41:F41" si="7">SUM(E38:E40)</f>
        <v>8482294</v>
      </c>
      <c r="F41" s="707">
        <f t="shared" si="7"/>
        <v>0</v>
      </c>
      <c r="G41" s="616">
        <v>1</v>
      </c>
    </row>
    <row r="42" spans="2:7" ht="15.75" hidden="1" thickBot="1" x14ac:dyDescent="0.3">
      <c r="B42" s="499" t="s">
        <v>407</v>
      </c>
      <c r="C42" s="698">
        <v>1</v>
      </c>
      <c r="D42" s="497">
        <v>11620084</v>
      </c>
      <c r="E42" s="487">
        <v>11620084</v>
      </c>
      <c r="F42" s="945">
        <f>+D42-E42</f>
        <v>0</v>
      </c>
    </row>
    <row r="43" spans="2:7" ht="15.75" hidden="1" thickBot="1" x14ac:dyDescent="0.3">
      <c r="B43" s="943" t="s">
        <v>408</v>
      </c>
      <c r="C43" s="697">
        <v>2</v>
      </c>
      <c r="D43" s="944">
        <v>10074976</v>
      </c>
      <c r="E43" s="945">
        <v>10074976</v>
      </c>
      <c r="F43" s="945">
        <f t="shared" ref="F43:F46" si="8">+D43-E43</f>
        <v>0</v>
      </c>
    </row>
    <row r="44" spans="2:7" ht="15.75" hidden="1" thickBot="1" x14ac:dyDescent="0.3">
      <c r="B44" s="943" t="s">
        <v>409</v>
      </c>
      <c r="C44" s="697">
        <v>3</v>
      </c>
      <c r="D44" s="944">
        <v>15495589.75</v>
      </c>
      <c r="E44" s="945">
        <v>15495589.75</v>
      </c>
      <c r="F44" s="945">
        <f>+D44-E44</f>
        <v>0</v>
      </c>
    </row>
    <row r="45" spans="2:7" ht="15.75" hidden="1" thickBot="1" x14ac:dyDescent="0.3">
      <c r="B45" s="943" t="s">
        <v>410</v>
      </c>
      <c r="C45" s="697">
        <v>4</v>
      </c>
      <c r="D45" s="944">
        <v>14247870</v>
      </c>
      <c r="E45" s="945">
        <v>14247870</v>
      </c>
      <c r="F45" s="945">
        <f t="shared" si="8"/>
        <v>0</v>
      </c>
    </row>
    <row r="46" spans="2:7" ht="15.75" hidden="1" thickBot="1" x14ac:dyDescent="0.3">
      <c r="B46" s="500" t="s">
        <v>411</v>
      </c>
      <c r="C46" s="703">
        <v>5</v>
      </c>
      <c r="D46" s="495">
        <v>12007167.25</v>
      </c>
      <c r="E46" s="488">
        <v>12007167.25</v>
      </c>
      <c r="F46" s="945">
        <f t="shared" si="8"/>
        <v>0</v>
      </c>
    </row>
    <row r="47" spans="2:7" ht="15.75" thickBot="1" x14ac:dyDescent="0.3">
      <c r="B47" s="704" t="s">
        <v>311</v>
      </c>
      <c r="C47" s="705">
        <v>5</v>
      </c>
      <c r="D47" s="947">
        <f>SUM(D42:D46)</f>
        <v>63445687</v>
      </c>
      <c r="E47" s="706">
        <f t="shared" ref="E47:F47" si="9">SUM(E42:E46)</f>
        <v>63445687</v>
      </c>
      <c r="F47" s="707">
        <f t="shared" si="9"/>
        <v>0</v>
      </c>
      <c r="G47" s="616">
        <v>1</v>
      </c>
    </row>
    <row r="48" spans="2:7" ht="15.75" hidden="1" thickBot="1" x14ac:dyDescent="0.3">
      <c r="B48" s="499" t="s">
        <v>412</v>
      </c>
      <c r="C48" s="698">
        <v>1</v>
      </c>
      <c r="D48" s="497">
        <v>73260</v>
      </c>
      <c r="E48" s="487">
        <v>73260</v>
      </c>
      <c r="F48" s="486">
        <f>+D48-E48</f>
        <v>0</v>
      </c>
    </row>
    <row r="49" spans="2:6" ht="15.75" hidden="1" thickBot="1" x14ac:dyDescent="0.3">
      <c r="B49" s="943" t="s">
        <v>413</v>
      </c>
      <c r="C49" s="697">
        <v>2</v>
      </c>
      <c r="D49" s="944">
        <v>65320</v>
      </c>
      <c r="E49" s="945">
        <v>65320</v>
      </c>
      <c r="F49" s="486">
        <f t="shared" ref="F49:F70" si="10">+D49-E49</f>
        <v>0</v>
      </c>
    </row>
    <row r="50" spans="2:6" ht="15.75" hidden="1" thickBot="1" x14ac:dyDescent="0.3">
      <c r="B50" s="943" t="s">
        <v>414</v>
      </c>
      <c r="C50" s="697">
        <v>3</v>
      </c>
      <c r="D50" s="944">
        <v>57887.55</v>
      </c>
      <c r="E50" s="945">
        <v>57887.55</v>
      </c>
      <c r="F50" s="486">
        <f t="shared" si="10"/>
        <v>0</v>
      </c>
    </row>
    <row r="51" spans="2:6" ht="15.75" hidden="1" thickBot="1" x14ac:dyDescent="0.3">
      <c r="B51" s="943" t="s">
        <v>415</v>
      </c>
      <c r="C51" s="698">
        <v>4</v>
      </c>
      <c r="D51" s="944">
        <v>57589.25</v>
      </c>
      <c r="E51" s="945">
        <v>57589.25</v>
      </c>
      <c r="F51" s="486">
        <f t="shared" si="10"/>
        <v>0</v>
      </c>
    </row>
    <row r="52" spans="2:6" ht="15.75" hidden="1" thickBot="1" x14ac:dyDescent="0.3">
      <c r="B52" s="943" t="s">
        <v>415</v>
      </c>
      <c r="C52" s="697">
        <v>5</v>
      </c>
      <c r="D52" s="944">
        <v>57589.25</v>
      </c>
      <c r="E52" s="945">
        <v>57589.25</v>
      </c>
      <c r="F52" s="486">
        <f t="shared" si="10"/>
        <v>0</v>
      </c>
    </row>
    <row r="53" spans="2:6" ht="15.75" hidden="1" thickBot="1" x14ac:dyDescent="0.3">
      <c r="B53" s="943" t="s">
        <v>415</v>
      </c>
      <c r="C53" s="697">
        <v>6</v>
      </c>
      <c r="D53" s="944">
        <v>57589.25</v>
      </c>
      <c r="E53" s="945">
        <v>57589.25</v>
      </c>
      <c r="F53" s="486">
        <f t="shared" si="10"/>
        <v>0</v>
      </c>
    </row>
    <row r="54" spans="2:6" ht="15.75" hidden="1" thickBot="1" x14ac:dyDescent="0.3">
      <c r="B54" s="943" t="s">
        <v>415</v>
      </c>
      <c r="C54" s="698">
        <v>7</v>
      </c>
      <c r="D54" s="495">
        <v>57589.25</v>
      </c>
      <c r="E54" s="488">
        <v>57589.25</v>
      </c>
      <c r="F54" s="486">
        <f t="shared" si="10"/>
        <v>0</v>
      </c>
    </row>
    <row r="55" spans="2:6" ht="15.75" hidden="1" thickBot="1" x14ac:dyDescent="0.3">
      <c r="B55" s="943" t="s">
        <v>415</v>
      </c>
      <c r="C55" s="697">
        <v>8</v>
      </c>
      <c r="D55" s="944">
        <v>57589.25</v>
      </c>
      <c r="E55" s="945">
        <v>57589.25</v>
      </c>
      <c r="F55" s="486">
        <f t="shared" si="10"/>
        <v>0</v>
      </c>
    </row>
    <row r="56" spans="2:6" ht="15.75" hidden="1" thickBot="1" x14ac:dyDescent="0.3">
      <c r="B56" s="943" t="s">
        <v>415</v>
      </c>
      <c r="C56" s="697">
        <v>9</v>
      </c>
      <c r="D56" s="944">
        <v>57589.25</v>
      </c>
      <c r="E56" s="945">
        <v>57589.25</v>
      </c>
      <c r="F56" s="486">
        <f t="shared" si="10"/>
        <v>0</v>
      </c>
    </row>
    <row r="57" spans="2:6" ht="15.75" hidden="1" thickBot="1" x14ac:dyDescent="0.3">
      <c r="B57" s="943" t="s">
        <v>415</v>
      </c>
      <c r="C57" s="698">
        <v>10</v>
      </c>
      <c r="D57" s="944">
        <v>57589.25</v>
      </c>
      <c r="E57" s="945">
        <v>57589.25</v>
      </c>
      <c r="F57" s="486">
        <f t="shared" si="10"/>
        <v>0</v>
      </c>
    </row>
    <row r="58" spans="2:6" ht="15.75" hidden="1" thickBot="1" x14ac:dyDescent="0.3">
      <c r="B58" s="943" t="s">
        <v>415</v>
      </c>
      <c r="C58" s="697">
        <v>11</v>
      </c>
      <c r="D58" s="944">
        <v>57589.25</v>
      </c>
      <c r="E58" s="945">
        <v>57589.25</v>
      </c>
      <c r="F58" s="486">
        <f t="shared" si="10"/>
        <v>0</v>
      </c>
    </row>
    <row r="59" spans="2:6" ht="15.75" hidden="1" thickBot="1" x14ac:dyDescent="0.3">
      <c r="B59" s="943" t="s">
        <v>416</v>
      </c>
      <c r="C59" s="697">
        <v>12</v>
      </c>
      <c r="D59" s="944">
        <v>64273.75</v>
      </c>
      <c r="E59" s="945">
        <v>64273.75</v>
      </c>
      <c r="F59" s="486">
        <f t="shared" si="10"/>
        <v>0</v>
      </c>
    </row>
    <row r="60" spans="2:6" ht="15.75" hidden="1" thickBot="1" x14ac:dyDescent="0.3">
      <c r="B60" s="943" t="s">
        <v>417</v>
      </c>
      <c r="C60" s="698">
        <v>13</v>
      </c>
      <c r="D60" s="944">
        <v>64273.75</v>
      </c>
      <c r="E60" s="945">
        <v>64273.75</v>
      </c>
      <c r="F60" s="486">
        <f t="shared" si="10"/>
        <v>0</v>
      </c>
    </row>
    <row r="61" spans="2:6" ht="15.75" hidden="1" thickBot="1" x14ac:dyDescent="0.3">
      <c r="B61" s="943" t="s">
        <v>416</v>
      </c>
      <c r="C61" s="697">
        <v>14</v>
      </c>
      <c r="D61" s="944">
        <v>64273.75</v>
      </c>
      <c r="E61" s="945">
        <v>64273.75</v>
      </c>
      <c r="F61" s="486">
        <f t="shared" si="10"/>
        <v>0</v>
      </c>
    </row>
    <row r="62" spans="2:6" ht="15.75" hidden="1" thickBot="1" x14ac:dyDescent="0.3">
      <c r="B62" s="943" t="s">
        <v>416</v>
      </c>
      <c r="C62" s="697">
        <v>15</v>
      </c>
      <c r="D62" s="944">
        <v>64273.75</v>
      </c>
      <c r="E62" s="945">
        <v>64273.75</v>
      </c>
      <c r="F62" s="486">
        <f t="shared" si="10"/>
        <v>0</v>
      </c>
    </row>
    <row r="63" spans="2:6" ht="15.75" hidden="1" thickBot="1" x14ac:dyDescent="0.3">
      <c r="B63" s="943" t="s">
        <v>416</v>
      </c>
      <c r="C63" s="698">
        <v>16</v>
      </c>
      <c r="D63" s="944">
        <v>64273.75</v>
      </c>
      <c r="E63" s="945">
        <v>64273.75</v>
      </c>
      <c r="F63" s="486">
        <f t="shared" si="10"/>
        <v>0</v>
      </c>
    </row>
    <row r="64" spans="2:6" ht="15.75" hidden="1" thickBot="1" x14ac:dyDescent="0.3">
      <c r="B64" s="943" t="s">
        <v>416</v>
      </c>
      <c r="C64" s="697">
        <v>17</v>
      </c>
      <c r="D64" s="944">
        <v>64273.75</v>
      </c>
      <c r="E64" s="945">
        <v>64273.75</v>
      </c>
      <c r="F64" s="486">
        <f t="shared" si="10"/>
        <v>0</v>
      </c>
    </row>
    <row r="65" spans="2:7" ht="15.75" hidden="1" thickBot="1" x14ac:dyDescent="0.3">
      <c r="B65" s="943" t="s">
        <v>416</v>
      </c>
      <c r="C65" s="697">
        <v>18</v>
      </c>
      <c r="D65" s="944">
        <v>64273.75</v>
      </c>
      <c r="E65" s="945">
        <v>64273.75</v>
      </c>
      <c r="F65" s="486">
        <f t="shared" si="10"/>
        <v>0</v>
      </c>
    </row>
    <row r="66" spans="2:7" ht="15.75" hidden="1" thickBot="1" x14ac:dyDescent="0.3">
      <c r="B66" s="943" t="s">
        <v>416</v>
      </c>
      <c r="C66" s="698">
        <v>19</v>
      </c>
      <c r="D66" s="944">
        <v>64273.75</v>
      </c>
      <c r="E66" s="945">
        <v>64273.75</v>
      </c>
      <c r="F66" s="486">
        <f t="shared" si="10"/>
        <v>0</v>
      </c>
    </row>
    <row r="67" spans="2:7" ht="15.75" hidden="1" thickBot="1" x14ac:dyDescent="0.3">
      <c r="B67" s="500" t="s">
        <v>416</v>
      </c>
      <c r="C67" s="697">
        <v>20</v>
      </c>
      <c r="D67" s="495">
        <v>64273.75</v>
      </c>
      <c r="E67" s="488">
        <v>64273.75</v>
      </c>
      <c r="F67" s="486">
        <f t="shared" si="10"/>
        <v>0</v>
      </c>
    </row>
    <row r="68" spans="2:7" ht="15.75" hidden="1" thickBot="1" x14ac:dyDescent="0.3">
      <c r="B68" s="499" t="s">
        <v>418</v>
      </c>
      <c r="C68" s="697">
        <v>21</v>
      </c>
      <c r="D68" s="497">
        <v>131560</v>
      </c>
      <c r="E68" s="487">
        <v>131560</v>
      </c>
      <c r="F68" s="486">
        <f t="shared" si="10"/>
        <v>0</v>
      </c>
    </row>
    <row r="69" spans="2:7" ht="15.75" hidden="1" thickBot="1" x14ac:dyDescent="0.3">
      <c r="B69" s="943" t="s">
        <v>418</v>
      </c>
      <c r="C69" s="698">
        <v>22</v>
      </c>
      <c r="D69" s="944">
        <v>131560</v>
      </c>
      <c r="E69" s="487">
        <v>131560</v>
      </c>
      <c r="F69" s="486">
        <f t="shared" si="10"/>
        <v>0</v>
      </c>
    </row>
    <row r="70" spans="2:7" ht="15.75" hidden="1" thickBot="1" x14ac:dyDescent="0.3">
      <c r="B70" s="943" t="s">
        <v>418</v>
      </c>
      <c r="C70" s="697">
        <v>23</v>
      </c>
      <c r="D70" s="944">
        <v>131560</v>
      </c>
      <c r="E70" s="487">
        <v>131560</v>
      </c>
      <c r="F70" s="486">
        <f t="shared" si="10"/>
        <v>0</v>
      </c>
    </row>
    <row r="71" spans="2:7" ht="15.75" thickBot="1" x14ac:dyDescent="0.3">
      <c r="B71" s="704" t="s">
        <v>694</v>
      </c>
      <c r="C71" s="705">
        <v>23</v>
      </c>
      <c r="D71" s="947">
        <f>SUM(D48:D70)</f>
        <v>1630325.3</v>
      </c>
      <c r="E71" s="706">
        <f t="shared" ref="E71" si="11">SUM(E48:E70)</f>
        <v>1630325.3</v>
      </c>
      <c r="F71" s="707">
        <f>SUM(F48:F70)</f>
        <v>0</v>
      </c>
      <c r="G71" s="616">
        <v>1</v>
      </c>
    </row>
    <row r="72" spans="2:7" ht="15.75" hidden="1" thickBot="1" x14ac:dyDescent="0.3">
      <c r="B72" s="943" t="s">
        <v>419</v>
      </c>
      <c r="C72" s="698">
        <v>1</v>
      </c>
      <c r="D72" s="944">
        <v>65000</v>
      </c>
      <c r="E72" s="945">
        <v>65000</v>
      </c>
      <c r="F72" s="486">
        <f>+D72-E72</f>
        <v>0</v>
      </c>
    </row>
    <row r="73" spans="2:7" ht="15.75" hidden="1" thickBot="1" x14ac:dyDescent="0.3">
      <c r="B73" s="943" t="s">
        <v>420</v>
      </c>
      <c r="C73" s="697">
        <v>2</v>
      </c>
      <c r="D73" s="944">
        <v>543823.43000000005</v>
      </c>
      <c r="E73" s="945">
        <v>543823.43000000005</v>
      </c>
      <c r="F73" s="486">
        <f t="shared" ref="F73:F75" si="12">+D73-E73</f>
        <v>0</v>
      </c>
    </row>
    <row r="74" spans="2:7" ht="15.75" hidden="1" thickBot="1" x14ac:dyDescent="0.3">
      <c r="B74" s="500" t="s">
        <v>421</v>
      </c>
      <c r="C74" s="703">
        <v>3</v>
      </c>
      <c r="D74" s="495">
        <v>78000</v>
      </c>
      <c r="E74" s="945">
        <v>78000</v>
      </c>
      <c r="F74" s="486">
        <f t="shared" si="12"/>
        <v>0</v>
      </c>
    </row>
    <row r="75" spans="2:7" ht="15.75" hidden="1" thickBot="1" x14ac:dyDescent="0.3">
      <c r="B75" s="943" t="s">
        <v>623</v>
      </c>
      <c r="C75" s="697">
        <v>4</v>
      </c>
      <c r="D75" s="495">
        <v>439830</v>
      </c>
      <c r="E75" s="945">
        <v>439830</v>
      </c>
      <c r="F75" s="486">
        <f t="shared" si="12"/>
        <v>0</v>
      </c>
    </row>
    <row r="76" spans="2:7" ht="15.75" thickBot="1" x14ac:dyDescent="0.3">
      <c r="B76" s="704" t="s">
        <v>582</v>
      </c>
      <c r="C76" s="705">
        <v>4</v>
      </c>
      <c r="D76" s="947">
        <f>SUM(D72:D75)</f>
        <v>1126653.4300000002</v>
      </c>
      <c r="E76" s="706">
        <f>SUM(E72:E75)</f>
        <v>1126653.4300000002</v>
      </c>
      <c r="F76" s="707">
        <f>SUM(F72:F75)</f>
        <v>0</v>
      </c>
      <c r="G76" s="616">
        <v>1</v>
      </c>
    </row>
    <row r="77" spans="2:7" ht="15.75" hidden="1" thickBot="1" x14ac:dyDescent="0.3">
      <c r="B77" s="499" t="s">
        <v>422</v>
      </c>
      <c r="C77" s="698">
        <v>1</v>
      </c>
      <c r="D77" s="497">
        <v>52000</v>
      </c>
      <c r="E77" s="487">
        <v>52000</v>
      </c>
      <c r="F77" s="486">
        <f>+D77-E77</f>
        <v>0</v>
      </c>
    </row>
    <row r="78" spans="2:7" ht="15.75" hidden="1" thickBot="1" x14ac:dyDescent="0.3">
      <c r="B78" s="943" t="s">
        <v>423</v>
      </c>
      <c r="C78" s="697">
        <v>2</v>
      </c>
      <c r="D78" s="944">
        <v>52000</v>
      </c>
      <c r="E78" s="945">
        <v>52000</v>
      </c>
      <c r="F78" s="486">
        <f t="shared" ref="F78:F139" si="13">+D78-E78</f>
        <v>0</v>
      </c>
    </row>
    <row r="79" spans="2:7" ht="15.75" hidden="1" thickBot="1" x14ac:dyDescent="0.3">
      <c r="B79" s="943" t="s">
        <v>424</v>
      </c>
      <c r="C79" s="697">
        <v>3</v>
      </c>
      <c r="D79" s="944">
        <v>52000</v>
      </c>
      <c r="E79" s="945">
        <v>52000</v>
      </c>
      <c r="F79" s="486">
        <f t="shared" si="13"/>
        <v>0</v>
      </c>
    </row>
    <row r="80" spans="2:7" ht="15.75" hidden="1" thickBot="1" x14ac:dyDescent="0.3">
      <c r="B80" s="943" t="s">
        <v>425</v>
      </c>
      <c r="C80" s="698">
        <v>4</v>
      </c>
      <c r="D80" s="944">
        <v>52000</v>
      </c>
      <c r="E80" s="945">
        <v>52000</v>
      </c>
      <c r="F80" s="486">
        <f t="shared" si="13"/>
        <v>0</v>
      </c>
    </row>
    <row r="81" spans="2:6" ht="15.75" hidden="1" thickBot="1" x14ac:dyDescent="0.3">
      <c r="B81" s="943" t="s">
        <v>425</v>
      </c>
      <c r="C81" s="697">
        <v>5</v>
      </c>
      <c r="D81" s="944">
        <v>52000</v>
      </c>
      <c r="E81" s="945">
        <v>52000</v>
      </c>
      <c r="F81" s="486">
        <f t="shared" si="13"/>
        <v>0</v>
      </c>
    </row>
    <row r="82" spans="2:6" ht="15.75" hidden="1" thickBot="1" x14ac:dyDescent="0.3">
      <c r="B82" s="943" t="s">
        <v>425</v>
      </c>
      <c r="C82" s="697">
        <v>6</v>
      </c>
      <c r="D82" s="944">
        <v>52000</v>
      </c>
      <c r="E82" s="945">
        <v>52000</v>
      </c>
      <c r="F82" s="486">
        <f t="shared" si="13"/>
        <v>0</v>
      </c>
    </row>
    <row r="83" spans="2:6" ht="15.75" hidden="1" thickBot="1" x14ac:dyDescent="0.3">
      <c r="B83" s="943" t="s">
        <v>425</v>
      </c>
      <c r="C83" s="698">
        <v>7</v>
      </c>
      <c r="D83" s="944">
        <v>52000</v>
      </c>
      <c r="E83" s="945">
        <v>52000</v>
      </c>
      <c r="F83" s="486">
        <f t="shared" si="13"/>
        <v>0</v>
      </c>
    </row>
    <row r="84" spans="2:6" ht="15.75" hidden="1" thickBot="1" x14ac:dyDescent="0.3">
      <c r="B84" s="943" t="s">
        <v>426</v>
      </c>
      <c r="C84" s="697">
        <v>8</v>
      </c>
      <c r="D84" s="944">
        <v>52000</v>
      </c>
      <c r="E84" s="945">
        <v>52000</v>
      </c>
      <c r="F84" s="486">
        <f t="shared" si="13"/>
        <v>0</v>
      </c>
    </row>
    <row r="85" spans="2:6" ht="15.75" hidden="1" thickBot="1" x14ac:dyDescent="0.3">
      <c r="B85" s="943" t="s">
        <v>426</v>
      </c>
      <c r="C85" s="697">
        <v>9</v>
      </c>
      <c r="D85" s="944">
        <v>52000</v>
      </c>
      <c r="E85" s="945">
        <v>52000</v>
      </c>
      <c r="F85" s="486">
        <f t="shared" si="13"/>
        <v>0</v>
      </c>
    </row>
    <row r="86" spans="2:6" ht="15.75" hidden="1" thickBot="1" x14ac:dyDescent="0.3">
      <c r="B86" s="943" t="s">
        <v>426</v>
      </c>
      <c r="C86" s="698">
        <v>10</v>
      </c>
      <c r="D86" s="944">
        <v>52000</v>
      </c>
      <c r="E86" s="945">
        <v>52000</v>
      </c>
      <c r="F86" s="486">
        <f t="shared" si="13"/>
        <v>0</v>
      </c>
    </row>
    <row r="87" spans="2:6" ht="15.75" hidden="1" thickBot="1" x14ac:dyDescent="0.3">
      <c r="B87" s="943" t="s">
        <v>426</v>
      </c>
      <c r="C87" s="697">
        <v>11</v>
      </c>
      <c r="D87" s="944">
        <v>52000</v>
      </c>
      <c r="E87" s="945">
        <v>52000</v>
      </c>
      <c r="F87" s="486">
        <f t="shared" si="13"/>
        <v>0</v>
      </c>
    </row>
    <row r="88" spans="2:6" ht="15.75" hidden="1" thickBot="1" x14ac:dyDescent="0.3">
      <c r="B88" s="943" t="s">
        <v>427</v>
      </c>
      <c r="C88" s="697">
        <v>12</v>
      </c>
      <c r="D88" s="944">
        <v>93100</v>
      </c>
      <c r="E88" s="945">
        <v>93100</v>
      </c>
      <c r="F88" s="486">
        <f t="shared" si="13"/>
        <v>0</v>
      </c>
    </row>
    <row r="89" spans="2:6" ht="15.75" hidden="1" thickBot="1" x14ac:dyDescent="0.3">
      <c r="B89" s="943" t="s">
        <v>427</v>
      </c>
      <c r="C89" s="698">
        <v>13</v>
      </c>
      <c r="D89" s="944">
        <v>93100</v>
      </c>
      <c r="E89" s="945">
        <v>93100</v>
      </c>
      <c r="F89" s="486">
        <f t="shared" si="13"/>
        <v>0</v>
      </c>
    </row>
    <row r="90" spans="2:6" ht="15.75" hidden="1" thickBot="1" x14ac:dyDescent="0.3">
      <c r="B90" s="943" t="s">
        <v>428</v>
      </c>
      <c r="C90" s="697">
        <v>14</v>
      </c>
      <c r="D90" s="944">
        <v>52000</v>
      </c>
      <c r="E90" s="945">
        <v>52000</v>
      </c>
      <c r="F90" s="486">
        <f t="shared" si="13"/>
        <v>0</v>
      </c>
    </row>
    <row r="91" spans="2:6" ht="15.75" hidden="1" thickBot="1" x14ac:dyDescent="0.3">
      <c r="B91" s="943" t="s">
        <v>429</v>
      </c>
      <c r="C91" s="697">
        <v>15</v>
      </c>
      <c r="D91" s="944">
        <v>56285</v>
      </c>
      <c r="E91" s="945">
        <v>56285</v>
      </c>
      <c r="F91" s="486">
        <f t="shared" si="13"/>
        <v>0</v>
      </c>
    </row>
    <row r="92" spans="2:6" ht="15.75" hidden="1" thickBot="1" x14ac:dyDescent="0.3">
      <c r="B92" s="943" t="s">
        <v>429</v>
      </c>
      <c r="C92" s="698">
        <v>16</v>
      </c>
      <c r="D92" s="944">
        <v>56285</v>
      </c>
      <c r="E92" s="945">
        <v>56285</v>
      </c>
      <c r="F92" s="486">
        <f t="shared" si="13"/>
        <v>0</v>
      </c>
    </row>
    <row r="93" spans="2:6" ht="15.75" hidden="1" thickBot="1" x14ac:dyDescent="0.3">
      <c r="B93" s="943" t="s">
        <v>429</v>
      </c>
      <c r="C93" s="697">
        <v>17</v>
      </c>
      <c r="D93" s="944">
        <v>52000</v>
      </c>
      <c r="E93" s="945">
        <v>52000</v>
      </c>
      <c r="F93" s="486">
        <f t="shared" si="13"/>
        <v>0</v>
      </c>
    </row>
    <row r="94" spans="2:6" ht="15.75" hidden="1" thickBot="1" x14ac:dyDescent="0.3">
      <c r="B94" s="943" t="s">
        <v>429</v>
      </c>
      <c r="C94" s="697">
        <v>18</v>
      </c>
      <c r="D94" s="944">
        <v>52000</v>
      </c>
      <c r="E94" s="945">
        <v>52000</v>
      </c>
      <c r="F94" s="486">
        <f t="shared" si="13"/>
        <v>0</v>
      </c>
    </row>
    <row r="95" spans="2:6" ht="15.75" hidden="1" thickBot="1" x14ac:dyDescent="0.3">
      <c r="B95" s="943" t="s">
        <v>429</v>
      </c>
      <c r="C95" s="698">
        <v>19</v>
      </c>
      <c r="D95" s="944">
        <v>52000</v>
      </c>
      <c r="E95" s="945">
        <v>52000</v>
      </c>
      <c r="F95" s="486">
        <f t="shared" si="13"/>
        <v>0</v>
      </c>
    </row>
    <row r="96" spans="2:6" ht="15.75" hidden="1" thickBot="1" x14ac:dyDescent="0.3">
      <c r="B96" s="943" t="s">
        <v>429</v>
      </c>
      <c r="C96" s="697">
        <v>20</v>
      </c>
      <c r="D96" s="944">
        <v>52000</v>
      </c>
      <c r="E96" s="945">
        <v>52000</v>
      </c>
      <c r="F96" s="486">
        <f t="shared" si="13"/>
        <v>0</v>
      </c>
    </row>
    <row r="97" spans="2:6" ht="15.75" hidden="1" thickBot="1" x14ac:dyDescent="0.3">
      <c r="B97" s="943" t="s">
        <v>430</v>
      </c>
      <c r="C97" s="697">
        <v>21</v>
      </c>
      <c r="D97" s="944">
        <v>52000</v>
      </c>
      <c r="E97" s="945">
        <v>52000</v>
      </c>
      <c r="F97" s="486">
        <f t="shared" si="13"/>
        <v>0</v>
      </c>
    </row>
    <row r="98" spans="2:6" ht="15.75" hidden="1" thickBot="1" x14ac:dyDescent="0.3">
      <c r="B98" s="943" t="s">
        <v>429</v>
      </c>
      <c r="C98" s="698">
        <v>22</v>
      </c>
      <c r="D98" s="944">
        <v>52000</v>
      </c>
      <c r="E98" s="945">
        <v>52000</v>
      </c>
      <c r="F98" s="486">
        <f t="shared" si="13"/>
        <v>0</v>
      </c>
    </row>
    <row r="99" spans="2:6" ht="15.75" hidden="1" thickBot="1" x14ac:dyDescent="0.3">
      <c r="B99" s="943" t="s">
        <v>427</v>
      </c>
      <c r="C99" s="697">
        <v>23</v>
      </c>
      <c r="D99" s="944">
        <v>52000</v>
      </c>
      <c r="E99" s="945">
        <v>52000</v>
      </c>
      <c r="F99" s="486">
        <f t="shared" si="13"/>
        <v>0</v>
      </c>
    </row>
    <row r="100" spans="2:6" ht="15.75" hidden="1" thickBot="1" x14ac:dyDescent="0.3">
      <c r="B100" s="943" t="s">
        <v>429</v>
      </c>
      <c r="C100" s="697">
        <v>24</v>
      </c>
      <c r="D100" s="944">
        <v>52000</v>
      </c>
      <c r="E100" s="945">
        <v>52000</v>
      </c>
      <c r="F100" s="486">
        <f t="shared" si="13"/>
        <v>0</v>
      </c>
    </row>
    <row r="101" spans="2:6" ht="15.75" hidden="1" thickBot="1" x14ac:dyDescent="0.3">
      <c r="B101" s="943" t="s">
        <v>431</v>
      </c>
      <c r="C101" s="698">
        <v>25</v>
      </c>
      <c r="D101" s="944">
        <v>50000</v>
      </c>
      <c r="E101" s="945">
        <v>50000</v>
      </c>
      <c r="F101" s="486">
        <f t="shared" si="13"/>
        <v>0</v>
      </c>
    </row>
    <row r="102" spans="2:6" ht="15.75" hidden="1" thickBot="1" x14ac:dyDescent="0.3">
      <c r="B102" s="943" t="s">
        <v>429</v>
      </c>
      <c r="C102" s="697">
        <v>26</v>
      </c>
      <c r="D102" s="944">
        <v>52000</v>
      </c>
      <c r="E102" s="945">
        <v>52000</v>
      </c>
      <c r="F102" s="486">
        <f t="shared" si="13"/>
        <v>0</v>
      </c>
    </row>
    <row r="103" spans="2:6" ht="15.75" hidden="1" thickBot="1" x14ac:dyDescent="0.3">
      <c r="B103" s="943" t="s">
        <v>429</v>
      </c>
      <c r="C103" s="697">
        <v>27</v>
      </c>
      <c r="D103" s="944">
        <v>52000</v>
      </c>
      <c r="E103" s="945">
        <v>52000</v>
      </c>
      <c r="F103" s="486">
        <f t="shared" si="13"/>
        <v>0</v>
      </c>
    </row>
    <row r="104" spans="2:6" ht="15.75" hidden="1" thickBot="1" x14ac:dyDescent="0.3">
      <c r="B104" s="943" t="s">
        <v>429</v>
      </c>
      <c r="C104" s="698">
        <v>28</v>
      </c>
      <c r="D104" s="944">
        <v>52000</v>
      </c>
      <c r="E104" s="945">
        <v>52000</v>
      </c>
      <c r="F104" s="486">
        <f t="shared" si="13"/>
        <v>0</v>
      </c>
    </row>
    <row r="105" spans="2:6" ht="15.75" hidden="1" thickBot="1" x14ac:dyDescent="0.3">
      <c r="B105" s="943" t="s">
        <v>429</v>
      </c>
      <c r="C105" s="697">
        <v>29</v>
      </c>
      <c r="D105" s="944">
        <v>52000</v>
      </c>
      <c r="E105" s="945">
        <v>52000</v>
      </c>
      <c r="F105" s="486">
        <f t="shared" si="13"/>
        <v>0</v>
      </c>
    </row>
    <row r="106" spans="2:6" ht="15.75" hidden="1" thickBot="1" x14ac:dyDescent="0.3">
      <c r="B106" s="943" t="s">
        <v>429</v>
      </c>
      <c r="C106" s="697">
        <v>30</v>
      </c>
      <c r="D106" s="944">
        <v>52000</v>
      </c>
      <c r="E106" s="945">
        <v>52000</v>
      </c>
      <c r="F106" s="486">
        <f t="shared" si="13"/>
        <v>0</v>
      </c>
    </row>
    <row r="107" spans="2:6" ht="15.75" hidden="1" thickBot="1" x14ac:dyDescent="0.3">
      <c r="B107" s="943" t="s">
        <v>429</v>
      </c>
      <c r="C107" s="698">
        <v>31</v>
      </c>
      <c r="D107" s="944">
        <v>52000</v>
      </c>
      <c r="E107" s="945">
        <v>52000</v>
      </c>
      <c r="F107" s="486">
        <f t="shared" si="13"/>
        <v>0</v>
      </c>
    </row>
    <row r="108" spans="2:6" ht="15.75" hidden="1" thickBot="1" x14ac:dyDescent="0.3">
      <c r="B108" s="943" t="s">
        <v>429</v>
      </c>
      <c r="C108" s="697">
        <v>32</v>
      </c>
      <c r="D108" s="944">
        <v>52000</v>
      </c>
      <c r="E108" s="945">
        <v>52000</v>
      </c>
      <c r="F108" s="486">
        <f t="shared" si="13"/>
        <v>0</v>
      </c>
    </row>
    <row r="109" spans="2:6" ht="15.75" hidden="1" thickBot="1" x14ac:dyDescent="0.3">
      <c r="B109" s="943" t="s">
        <v>432</v>
      </c>
      <c r="C109" s="697">
        <v>33</v>
      </c>
      <c r="D109" s="944">
        <v>85000</v>
      </c>
      <c r="E109" s="945">
        <v>85000</v>
      </c>
      <c r="F109" s="486">
        <f t="shared" si="13"/>
        <v>0</v>
      </c>
    </row>
    <row r="110" spans="2:6" ht="15.75" hidden="1" thickBot="1" x14ac:dyDescent="0.3">
      <c r="B110" s="943" t="s">
        <v>433</v>
      </c>
      <c r="C110" s="698">
        <v>34</v>
      </c>
      <c r="D110" s="944">
        <v>52000</v>
      </c>
      <c r="E110" s="945">
        <v>52000</v>
      </c>
      <c r="F110" s="486">
        <f t="shared" si="13"/>
        <v>0</v>
      </c>
    </row>
    <row r="111" spans="2:6" ht="15.75" hidden="1" thickBot="1" x14ac:dyDescent="0.3">
      <c r="B111" s="943" t="s">
        <v>434</v>
      </c>
      <c r="C111" s="697">
        <v>35</v>
      </c>
      <c r="D111" s="944">
        <v>52000</v>
      </c>
      <c r="E111" s="945">
        <v>52000</v>
      </c>
      <c r="F111" s="486">
        <f t="shared" si="13"/>
        <v>0</v>
      </c>
    </row>
    <row r="112" spans="2:6" ht="15.75" hidden="1" thickBot="1" x14ac:dyDescent="0.3">
      <c r="B112" s="943" t="s">
        <v>435</v>
      </c>
      <c r="C112" s="697">
        <v>36</v>
      </c>
      <c r="D112" s="944">
        <v>246250</v>
      </c>
      <c r="E112" s="945">
        <v>246250</v>
      </c>
      <c r="F112" s="486">
        <f t="shared" si="13"/>
        <v>0</v>
      </c>
    </row>
    <row r="113" spans="2:6" ht="15.75" hidden="1" thickBot="1" x14ac:dyDescent="0.3">
      <c r="B113" s="943" t="s">
        <v>435</v>
      </c>
      <c r="C113" s="698">
        <v>37</v>
      </c>
      <c r="D113" s="944">
        <v>123125</v>
      </c>
      <c r="E113" s="945">
        <v>123125</v>
      </c>
      <c r="F113" s="486">
        <f t="shared" si="13"/>
        <v>0</v>
      </c>
    </row>
    <row r="114" spans="2:6" ht="15.75" hidden="1" thickBot="1" x14ac:dyDescent="0.3">
      <c r="B114" s="943" t="s">
        <v>436</v>
      </c>
      <c r="C114" s="697">
        <v>38</v>
      </c>
      <c r="D114" s="944">
        <v>93436.45</v>
      </c>
      <c r="E114" s="945">
        <v>93436.45</v>
      </c>
      <c r="F114" s="486">
        <f t="shared" si="13"/>
        <v>0</v>
      </c>
    </row>
    <row r="115" spans="2:6" ht="15.75" hidden="1" thickBot="1" x14ac:dyDescent="0.3">
      <c r="B115" s="943" t="s">
        <v>436</v>
      </c>
      <c r="C115" s="697">
        <v>39</v>
      </c>
      <c r="D115" s="944">
        <v>93436.45</v>
      </c>
      <c r="E115" s="945">
        <v>93436.45</v>
      </c>
      <c r="F115" s="486">
        <f t="shared" si="13"/>
        <v>0</v>
      </c>
    </row>
    <row r="116" spans="2:6" ht="15.75" hidden="1" thickBot="1" x14ac:dyDescent="0.3">
      <c r="B116" s="943" t="s">
        <v>436</v>
      </c>
      <c r="C116" s="698">
        <v>40</v>
      </c>
      <c r="D116" s="944">
        <v>93436.45</v>
      </c>
      <c r="E116" s="945">
        <v>93436.45</v>
      </c>
      <c r="F116" s="486">
        <f t="shared" si="13"/>
        <v>0</v>
      </c>
    </row>
    <row r="117" spans="2:6" ht="15.75" hidden="1" thickBot="1" x14ac:dyDescent="0.3">
      <c r="B117" s="943" t="s">
        <v>436</v>
      </c>
      <c r="C117" s="697">
        <v>41</v>
      </c>
      <c r="D117" s="944">
        <v>122200</v>
      </c>
      <c r="E117" s="945">
        <v>122200</v>
      </c>
      <c r="F117" s="486">
        <f t="shared" si="13"/>
        <v>0</v>
      </c>
    </row>
    <row r="118" spans="2:6" ht="15.75" hidden="1" thickBot="1" x14ac:dyDescent="0.3">
      <c r="B118" s="943" t="s">
        <v>436</v>
      </c>
      <c r="C118" s="697">
        <v>42</v>
      </c>
      <c r="D118" s="944">
        <v>122200</v>
      </c>
      <c r="E118" s="945">
        <v>122200</v>
      </c>
      <c r="F118" s="486">
        <f t="shared" si="13"/>
        <v>0</v>
      </c>
    </row>
    <row r="119" spans="2:6" ht="15.75" hidden="1" thickBot="1" x14ac:dyDescent="0.3">
      <c r="B119" s="943" t="s">
        <v>437</v>
      </c>
      <c r="C119" s="698">
        <v>43</v>
      </c>
      <c r="D119" s="944">
        <v>52000</v>
      </c>
      <c r="E119" s="945">
        <v>52000</v>
      </c>
      <c r="F119" s="486">
        <f t="shared" si="13"/>
        <v>0</v>
      </c>
    </row>
    <row r="120" spans="2:6" ht="15.75" hidden="1" thickBot="1" x14ac:dyDescent="0.3">
      <c r="B120" s="943" t="s">
        <v>438</v>
      </c>
      <c r="C120" s="697">
        <v>44</v>
      </c>
      <c r="D120" s="944">
        <v>108311.84</v>
      </c>
      <c r="E120" s="945">
        <v>108311.84</v>
      </c>
      <c r="F120" s="486">
        <f t="shared" si="13"/>
        <v>0</v>
      </c>
    </row>
    <row r="121" spans="2:6" ht="15.75" hidden="1" thickBot="1" x14ac:dyDescent="0.3">
      <c r="B121" s="943" t="s">
        <v>438</v>
      </c>
      <c r="C121" s="697">
        <v>45</v>
      </c>
      <c r="D121" s="944">
        <v>108311.84</v>
      </c>
      <c r="E121" s="945">
        <v>108311.84</v>
      </c>
      <c r="F121" s="486">
        <f t="shared" si="13"/>
        <v>0</v>
      </c>
    </row>
    <row r="122" spans="2:6" ht="15.75" hidden="1" thickBot="1" x14ac:dyDescent="0.3">
      <c r="B122" s="943" t="s">
        <v>438</v>
      </c>
      <c r="C122" s="698">
        <v>46</v>
      </c>
      <c r="D122" s="944">
        <v>108311.84</v>
      </c>
      <c r="E122" s="945">
        <v>108311.84</v>
      </c>
      <c r="F122" s="486">
        <f t="shared" si="13"/>
        <v>0</v>
      </c>
    </row>
    <row r="123" spans="2:6" ht="15.75" hidden="1" thickBot="1" x14ac:dyDescent="0.3">
      <c r="B123" s="943" t="s">
        <v>438</v>
      </c>
      <c r="C123" s="697">
        <v>47</v>
      </c>
      <c r="D123" s="944">
        <v>108311.84</v>
      </c>
      <c r="E123" s="945">
        <v>108311.84</v>
      </c>
      <c r="F123" s="486">
        <f t="shared" si="13"/>
        <v>0</v>
      </c>
    </row>
    <row r="124" spans="2:6" ht="15.75" hidden="1" thickBot="1" x14ac:dyDescent="0.3">
      <c r="B124" s="943" t="s">
        <v>438</v>
      </c>
      <c r="C124" s="697">
        <v>48</v>
      </c>
      <c r="D124" s="944">
        <v>108311.84</v>
      </c>
      <c r="E124" s="945">
        <v>108311.84</v>
      </c>
      <c r="F124" s="486">
        <f t="shared" si="13"/>
        <v>0</v>
      </c>
    </row>
    <row r="125" spans="2:6" ht="15.75" hidden="1" thickBot="1" x14ac:dyDescent="0.3">
      <c r="B125" s="943" t="s">
        <v>438</v>
      </c>
      <c r="C125" s="698">
        <v>49</v>
      </c>
      <c r="D125" s="944">
        <v>108311.84</v>
      </c>
      <c r="E125" s="945">
        <v>108311.84</v>
      </c>
      <c r="F125" s="486">
        <f t="shared" si="13"/>
        <v>0</v>
      </c>
    </row>
    <row r="126" spans="2:6" ht="15.75" hidden="1" thickBot="1" x14ac:dyDescent="0.3">
      <c r="B126" s="943" t="s">
        <v>438</v>
      </c>
      <c r="C126" s="697">
        <v>50</v>
      </c>
      <c r="D126" s="944">
        <v>108311.84</v>
      </c>
      <c r="E126" s="945">
        <v>108311.84</v>
      </c>
      <c r="F126" s="486">
        <f t="shared" si="13"/>
        <v>0</v>
      </c>
    </row>
    <row r="127" spans="2:6" ht="15.75" hidden="1" thickBot="1" x14ac:dyDescent="0.3">
      <c r="B127" s="943" t="s">
        <v>439</v>
      </c>
      <c r="C127" s="697">
        <v>51</v>
      </c>
      <c r="D127" s="944">
        <v>131312.29</v>
      </c>
      <c r="E127" s="945">
        <v>131312.29</v>
      </c>
      <c r="F127" s="486">
        <f t="shared" si="13"/>
        <v>0</v>
      </c>
    </row>
    <row r="128" spans="2:6" ht="15.75" hidden="1" thickBot="1" x14ac:dyDescent="0.3">
      <c r="B128" s="943" t="s">
        <v>440</v>
      </c>
      <c r="C128" s="698">
        <v>52</v>
      </c>
      <c r="D128" s="944">
        <v>400920.35</v>
      </c>
      <c r="E128" s="945">
        <v>400920.35</v>
      </c>
      <c r="F128" s="486">
        <f t="shared" si="13"/>
        <v>0</v>
      </c>
    </row>
    <row r="129" spans="2:7" ht="15.75" hidden="1" thickBot="1" x14ac:dyDescent="0.3">
      <c r="B129" s="943" t="s">
        <v>439</v>
      </c>
      <c r="C129" s="697">
        <v>53</v>
      </c>
      <c r="D129" s="944">
        <v>100000</v>
      </c>
      <c r="E129" s="945">
        <v>100000</v>
      </c>
      <c r="F129" s="486">
        <f t="shared" si="13"/>
        <v>0</v>
      </c>
    </row>
    <row r="130" spans="2:7" ht="15.75" hidden="1" thickBot="1" x14ac:dyDescent="0.3">
      <c r="B130" s="943" t="s">
        <v>441</v>
      </c>
      <c r="C130" s="697">
        <v>54</v>
      </c>
      <c r="D130" s="944">
        <v>103586</v>
      </c>
      <c r="E130" s="945">
        <v>103586</v>
      </c>
      <c r="F130" s="486">
        <f t="shared" si="13"/>
        <v>0</v>
      </c>
    </row>
    <row r="131" spans="2:7" ht="15.75" hidden="1" thickBot="1" x14ac:dyDescent="0.3">
      <c r="B131" s="943" t="s">
        <v>441</v>
      </c>
      <c r="C131" s="698">
        <v>55</v>
      </c>
      <c r="D131" s="944">
        <v>103586</v>
      </c>
      <c r="E131" s="945">
        <v>103586</v>
      </c>
      <c r="F131" s="486">
        <f t="shared" si="13"/>
        <v>0</v>
      </c>
    </row>
    <row r="132" spans="2:7" ht="15.75" hidden="1" thickBot="1" x14ac:dyDescent="0.3">
      <c r="B132" s="943" t="s">
        <v>441</v>
      </c>
      <c r="C132" s="697">
        <v>56</v>
      </c>
      <c r="D132" s="944">
        <v>103586</v>
      </c>
      <c r="E132" s="945">
        <v>103586</v>
      </c>
      <c r="F132" s="486">
        <f t="shared" si="13"/>
        <v>0</v>
      </c>
    </row>
    <row r="133" spans="2:7" ht="15.75" hidden="1" thickBot="1" x14ac:dyDescent="0.3">
      <c r="B133" s="943" t="s">
        <v>442</v>
      </c>
      <c r="C133" s="697">
        <v>57</v>
      </c>
      <c r="D133" s="944">
        <v>116000</v>
      </c>
      <c r="E133" s="945">
        <v>116000</v>
      </c>
      <c r="F133" s="486">
        <f t="shared" si="13"/>
        <v>0</v>
      </c>
    </row>
    <row r="134" spans="2:7" ht="15.75" hidden="1" thickBot="1" x14ac:dyDescent="0.3">
      <c r="B134" s="943" t="s">
        <v>443</v>
      </c>
      <c r="C134" s="698">
        <v>58</v>
      </c>
      <c r="D134" s="944">
        <v>76800</v>
      </c>
      <c r="E134" s="487">
        <v>76800</v>
      </c>
      <c r="F134" s="486">
        <f t="shared" si="13"/>
        <v>0</v>
      </c>
    </row>
    <row r="135" spans="2:7" ht="15.75" hidden="1" thickBot="1" x14ac:dyDescent="0.3">
      <c r="B135" s="943" t="s">
        <v>444</v>
      </c>
      <c r="C135" s="697">
        <v>59</v>
      </c>
      <c r="D135" s="944">
        <v>89000</v>
      </c>
      <c r="E135" s="487">
        <v>89000</v>
      </c>
      <c r="F135" s="486">
        <f t="shared" si="13"/>
        <v>0</v>
      </c>
    </row>
    <row r="136" spans="2:7" ht="15.75" hidden="1" thickBot="1" x14ac:dyDescent="0.3">
      <c r="B136" s="943" t="s">
        <v>442</v>
      </c>
      <c r="C136" s="697">
        <v>60</v>
      </c>
      <c r="D136" s="944">
        <v>140000</v>
      </c>
      <c r="E136" s="945">
        <v>140000</v>
      </c>
      <c r="F136" s="486">
        <f t="shared" si="13"/>
        <v>0</v>
      </c>
    </row>
    <row r="137" spans="2:7" ht="15.75" hidden="1" thickBot="1" x14ac:dyDescent="0.3">
      <c r="B137" s="943" t="s">
        <v>436</v>
      </c>
      <c r="C137" s="698">
        <v>61</v>
      </c>
      <c r="D137" s="944">
        <v>76800</v>
      </c>
      <c r="E137" s="487">
        <v>76800</v>
      </c>
      <c r="F137" s="486">
        <f t="shared" si="13"/>
        <v>0</v>
      </c>
    </row>
    <row r="138" spans="2:7" ht="15.75" hidden="1" thickBot="1" x14ac:dyDescent="0.3">
      <c r="B138" s="943" t="s">
        <v>436</v>
      </c>
      <c r="C138" s="697">
        <v>62</v>
      </c>
      <c r="D138" s="944">
        <v>76800</v>
      </c>
      <c r="E138" s="487">
        <v>76800</v>
      </c>
      <c r="F138" s="486">
        <f t="shared" si="13"/>
        <v>0</v>
      </c>
    </row>
    <row r="139" spans="2:7" ht="15.75" hidden="1" thickBot="1" x14ac:dyDescent="0.3">
      <c r="B139" s="500" t="s">
        <v>436</v>
      </c>
      <c r="C139" s="697">
        <v>63</v>
      </c>
      <c r="D139" s="495">
        <v>76800</v>
      </c>
      <c r="E139" s="489">
        <v>76800</v>
      </c>
      <c r="F139" s="486">
        <f t="shared" si="13"/>
        <v>0</v>
      </c>
    </row>
    <row r="140" spans="2:7" ht="15.75" thickBot="1" x14ac:dyDescent="0.3">
      <c r="B140" s="704" t="s">
        <v>312</v>
      </c>
      <c r="C140" s="705">
        <v>63</v>
      </c>
      <c r="D140" s="947">
        <f>SUM(D77:D139)</f>
        <v>5241227.8699999992</v>
      </c>
      <c r="E140" s="706">
        <f t="shared" ref="E140:F140" si="14">SUM(E77:E139)</f>
        <v>5241227.8699999992</v>
      </c>
      <c r="F140" s="707">
        <f t="shared" si="14"/>
        <v>0</v>
      </c>
      <c r="G140" s="616">
        <v>1</v>
      </c>
    </row>
    <row r="141" spans="2:7" ht="15.75" hidden="1" thickBot="1" x14ac:dyDescent="0.3">
      <c r="B141" s="499" t="s">
        <v>445</v>
      </c>
      <c r="C141" s="698">
        <v>1</v>
      </c>
      <c r="D141" s="497">
        <v>65900</v>
      </c>
      <c r="E141" s="487">
        <v>65900</v>
      </c>
      <c r="F141" s="486">
        <f>+D141-E141</f>
        <v>0</v>
      </c>
    </row>
    <row r="142" spans="2:7" ht="15.75" hidden="1" thickBot="1" x14ac:dyDescent="0.3">
      <c r="B142" s="943" t="s">
        <v>446</v>
      </c>
      <c r="C142" s="697">
        <v>2</v>
      </c>
      <c r="D142" s="944">
        <v>60000</v>
      </c>
      <c r="E142" s="945">
        <v>60000</v>
      </c>
      <c r="F142" s="486">
        <f t="shared" ref="F142:F159" si="15">+D142-E142</f>
        <v>0</v>
      </c>
    </row>
    <row r="143" spans="2:7" ht="15.75" hidden="1" thickBot="1" x14ac:dyDescent="0.3">
      <c r="B143" s="943" t="s">
        <v>446</v>
      </c>
      <c r="C143" s="697">
        <v>3</v>
      </c>
      <c r="D143" s="944">
        <v>60000</v>
      </c>
      <c r="E143" s="945">
        <v>60000</v>
      </c>
      <c r="F143" s="486">
        <f t="shared" si="15"/>
        <v>0</v>
      </c>
    </row>
    <row r="144" spans="2:7" ht="15.75" hidden="1" thickBot="1" x14ac:dyDescent="0.3">
      <c r="B144" s="943" t="s">
        <v>447</v>
      </c>
      <c r="C144" s="698">
        <v>4</v>
      </c>
      <c r="D144" s="944">
        <v>65900</v>
      </c>
      <c r="E144" s="945">
        <v>65900</v>
      </c>
      <c r="F144" s="486">
        <f t="shared" si="15"/>
        <v>0</v>
      </c>
    </row>
    <row r="145" spans="2:7" ht="15.75" hidden="1" thickBot="1" x14ac:dyDescent="0.3">
      <c r="B145" s="943" t="s">
        <v>448</v>
      </c>
      <c r="C145" s="697">
        <v>5</v>
      </c>
      <c r="D145" s="944">
        <v>68218.100000000006</v>
      </c>
      <c r="E145" s="945">
        <v>68218.100000000006</v>
      </c>
      <c r="F145" s="486">
        <f t="shared" si="15"/>
        <v>0</v>
      </c>
    </row>
    <row r="146" spans="2:7" ht="15.75" hidden="1" thickBot="1" x14ac:dyDescent="0.3">
      <c r="B146" s="943" t="s">
        <v>449</v>
      </c>
      <c r="C146" s="697">
        <v>6</v>
      </c>
      <c r="D146" s="944">
        <v>50355</v>
      </c>
      <c r="E146" s="945">
        <v>50355</v>
      </c>
      <c r="F146" s="486">
        <f t="shared" si="15"/>
        <v>0</v>
      </c>
    </row>
    <row r="147" spans="2:7" ht="15.75" hidden="1" thickBot="1" x14ac:dyDescent="0.3">
      <c r="B147" s="943" t="s">
        <v>450</v>
      </c>
      <c r="C147" s="698">
        <v>7</v>
      </c>
      <c r="D147" s="944">
        <v>50355</v>
      </c>
      <c r="E147" s="945">
        <v>50355</v>
      </c>
      <c r="F147" s="486">
        <f t="shared" si="15"/>
        <v>0</v>
      </c>
    </row>
    <row r="148" spans="2:7" ht="15.75" hidden="1" thickBot="1" x14ac:dyDescent="0.3">
      <c r="B148" s="943" t="s">
        <v>449</v>
      </c>
      <c r="C148" s="697">
        <v>8</v>
      </c>
      <c r="D148" s="944">
        <v>50355</v>
      </c>
      <c r="E148" s="945">
        <v>50355</v>
      </c>
      <c r="F148" s="486">
        <f t="shared" si="15"/>
        <v>0</v>
      </c>
    </row>
    <row r="149" spans="2:7" ht="15.75" hidden="1" thickBot="1" x14ac:dyDescent="0.3">
      <c r="B149" s="943" t="s">
        <v>450</v>
      </c>
      <c r="C149" s="697">
        <v>9</v>
      </c>
      <c r="D149" s="944">
        <v>50355</v>
      </c>
      <c r="E149" s="945">
        <v>50355</v>
      </c>
      <c r="F149" s="486">
        <f t="shared" si="15"/>
        <v>0</v>
      </c>
    </row>
    <row r="150" spans="2:7" ht="15.75" hidden="1" thickBot="1" x14ac:dyDescent="0.3">
      <c r="B150" s="943" t="s">
        <v>451</v>
      </c>
      <c r="C150" s="698">
        <v>10</v>
      </c>
      <c r="D150" s="944">
        <v>65900</v>
      </c>
      <c r="E150" s="945">
        <v>65900</v>
      </c>
      <c r="F150" s="486">
        <f t="shared" si="15"/>
        <v>0</v>
      </c>
    </row>
    <row r="151" spans="2:7" ht="15.75" hidden="1" thickBot="1" x14ac:dyDescent="0.3">
      <c r="B151" s="943" t="s">
        <v>449</v>
      </c>
      <c r="C151" s="697">
        <v>11</v>
      </c>
      <c r="D151" s="944">
        <v>50355</v>
      </c>
      <c r="E151" s="945">
        <v>50355</v>
      </c>
      <c r="F151" s="486">
        <f t="shared" si="15"/>
        <v>0</v>
      </c>
    </row>
    <row r="152" spans="2:7" ht="15.75" hidden="1" thickBot="1" x14ac:dyDescent="0.3">
      <c r="B152" s="943" t="s">
        <v>452</v>
      </c>
      <c r="C152" s="697">
        <v>12</v>
      </c>
      <c r="D152" s="944">
        <v>176973.21</v>
      </c>
      <c r="E152" s="945">
        <v>176973.21</v>
      </c>
      <c r="F152" s="486">
        <f t="shared" si="15"/>
        <v>0</v>
      </c>
    </row>
    <row r="153" spans="2:7" ht="15.75" hidden="1" thickBot="1" x14ac:dyDescent="0.3">
      <c r="B153" s="943" t="s">
        <v>452</v>
      </c>
      <c r="C153" s="698">
        <v>13</v>
      </c>
      <c r="D153" s="944">
        <v>176973.21</v>
      </c>
      <c r="E153" s="945">
        <v>176973.21</v>
      </c>
      <c r="F153" s="486">
        <f t="shared" si="15"/>
        <v>0</v>
      </c>
    </row>
    <row r="154" spans="2:7" ht="15.75" hidden="1" thickBot="1" x14ac:dyDescent="0.3">
      <c r="B154" s="943" t="s">
        <v>453</v>
      </c>
      <c r="C154" s="697">
        <v>14</v>
      </c>
      <c r="D154" s="944">
        <v>98007.85</v>
      </c>
      <c r="E154" s="945">
        <v>98007.85</v>
      </c>
      <c r="F154" s="486">
        <f t="shared" si="15"/>
        <v>0</v>
      </c>
    </row>
    <row r="155" spans="2:7" ht="15.75" hidden="1" thickBot="1" x14ac:dyDescent="0.3">
      <c r="B155" s="943" t="s">
        <v>452</v>
      </c>
      <c r="C155" s="697">
        <v>15</v>
      </c>
      <c r="D155" s="944">
        <v>190000</v>
      </c>
      <c r="E155" s="487">
        <v>190000</v>
      </c>
      <c r="F155" s="486">
        <f t="shared" si="15"/>
        <v>0</v>
      </c>
    </row>
    <row r="156" spans="2:7" ht="15.75" hidden="1" thickBot="1" x14ac:dyDescent="0.3">
      <c r="B156" s="943" t="s">
        <v>454</v>
      </c>
      <c r="C156" s="698">
        <v>16</v>
      </c>
      <c r="D156" s="944">
        <v>116869.61</v>
      </c>
      <c r="E156" s="945">
        <v>116869.61</v>
      </c>
      <c r="F156" s="486">
        <f t="shared" si="15"/>
        <v>0</v>
      </c>
    </row>
    <row r="157" spans="2:7" ht="15.75" hidden="1" thickBot="1" x14ac:dyDescent="0.3">
      <c r="B157" s="943" t="s">
        <v>454</v>
      </c>
      <c r="C157" s="697">
        <v>17</v>
      </c>
      <c r="D157" s="944">
        <v>116869.61</v>
      </c>
      <c r="E157" s="945">
        <v>116869.61</v>
      </c>
      <c r="F157" s="486">
        <f>+D157-E157</f>
        <v>0</v>
      </c>
    </row>
    <row r="158" spans="2:7" ht="15.75" hidden="1" thickBot="1" x14ac:dyDescent="0.3">
      <c r="B158" s="943" t="s">
        <v>455</v>
      </c>
      <c r="C158" s="697">
        <v>18</v>
      </c>
      <c r="D158" s="944">
        <v>139000</v>
      </c>
      <c r="E158" s="487">
        <v>139000</v>
      </c>
      <c r="F158" s="486">
        <f t="shared" si="15"/>
        <v>0</v>
      </c>
    </row>
    <row r="159" spans="2:7" ht="15.75" hidden="1" thickBot="1" x14ac:dyDescent="0.3">
      <c r="B159" s="500" t="s">
        <v>456</v>
      </c>
      <c r="C159" s="708">
        <v>19</v>
      </c>
      <c r="D159" s="495">
        <v>126265</v>
      </c>
      <c r="E159" s="488">
        <v>126265</v>
      </c>
      <c r="F159" s="486">
        <f t="shared" si="15"/>
        <v>0</v>
      </c>
    </row>
    <row r="160" spans="2:7" ht="15.75" thickBot="1" x14ac:dyDescent="0.3">
      <c r="B160" s="704" t="s">
        <v>583</v>
      </c>
      <c r="C160" s="705">
        <v>19</v>
      </c>
      <c r="D160" s="947">
        <f>SUM(D141:D159)</f>
        <v>1778651.59</v>
      </c>
      <c r="E160" s="706">
        <f t="shared" ref="E160:F160" si="16">SUM(E141:E159)</f>
        <v>1778651.59</v>
      </c>
      <c r="F160" s="707">
        <f t="shared" si="16"/>
        <v>0</v>
      </c>
      <c r="G160" s="616">
        <v>1</v>
      </c>
    </row>
    <row r="161" spans="2:6" ht="15.75" hidden="1" thickBot="1" x14ac:dyDescent="0.3">
      <c r="B161" s="499" t="s">
        <v>457</v>
      </c>
      <c r="C161" s="698">
        <v>1</v>
      </c>
      <c r="D161" s="497">
        <v>60000</v>
      </c>
      <c r="E161" s="487">
        <v>60000</v>
      </c>
      <c r="F161" s="486">
        <f>+D161-E161</f>
        <v>0</v>
      </c>
    </row>
    <row r="162" spans="2:6" ht="15.75" hidden="1" thickBot="1" x14ac:dyDescent="0.3">
      <c r="B162" s="943" t="s">
        <v>458</v>
      </c>
      <c r="C162" s="697">
        <v>2</v>
      </c>
      <c r="D162" s="944">
        <v>60000</v>
      </c>
      <c r="E162" s="945">
        <v>60000</v>
      </c>
      <c r="F162" s="486">
        <f t="shared" ref="F162:F178" si="17">+D162-E162</f>
        <v>0</v>
      </c>
    </row>
    <row r="163" spans="2:6" ht="15.75" hidden="1" thickBot="1" x14ac:dyDescent="0.3">
      <c r="B163" s="943" t="s">
        <v>458</v>
      </c>
      <c r="C163" s="697">
        <v>3</v>
      </c>
      <c r="D163" s="944">
        <v>60000</v>
      </c>
      <c r="E163" s="945">
        <v>60000</v>
      </c>
      <c r="F163" s="486">
        <f t="shared" si="17"/>
        <v>0</v>
      </c>
    </row>
    <row r="164" spans="2:6" ht="15.75" hidden="1" thickBot="1" x14ac:dyDescent="0.3">
      <c r="B164" s="943" t="s">
        <v>458</v>
      </c>
      <c r="C164" s="698">
        <v>4</v>
      </c>
      <c r="D164" s="944">
        <v>60000</v>
      </c>
      <c r="E164" s="945">
        <v>60000</v>
      </c>
      <c r="F164" s="486">
        <f t="shared" si="17"/>
        <v>0</v>
      </c>
    </row>
    <row r="165" spans="2:6" ht="15.75" hidden="1" thickBot="1" x14ac:dyDescent="0.3">
      <c r="B165" s="943" t="s">
        <v>459</v>
      </c>
      <c r="C165" s="697">
        <v>5</v>
      </c>
      <c r="D165" s="944">
        <v>60000</v>
      </c>
      <c r="E165" s="945">
        <v>60000</v>
      </c>
      <c r="F165" s="486">
        <f t="shared" si="17"/>
        <v>0</v>
      </c>
    </row>
    <row r="166" spans="2:6" ht="15.75" hidden="1" thickBot="1" x14ac:dyDescent="0.3">
      <c r="B166" s="943" t="s">
        <v>460</v>
      </c>
      <c r="C166" s="697">
        <v>6</v>
      </c>
      <c r="D166" s="944">
        <v>214511.88</v>
      </c>
      <c r="E166" s="945">
        <v>214511.88</v>
      </c>
      <c r="F166" s="486">
        <f t="shared" si="17"/>
        <v>0</v>
      </c>
    </row>
    <row r="167" spans="2:6" ht="15.75" hidden="1" thickBot="1" x14ac:dyDescent="0.3">
      <c r="B167" s="943" t="s">
        <v>461</v>
      </c>
      <c r="C167" s="698">
        <v>7</v>
      </c>
      <c r="D167" s="944">
        <v>125000</v>
      </c>
      <c r="E167" s="945">
        <v>125000</v>
      </c>
      <c r="F167" s="486">
        <f t="shared" si="17"/>
        <v>0</v>
      </c>
    </row>
    <row r="168" spans="2:6" ht="15.75" hidden="1" thickBot="1" x14ac:dyDescent="0.3">
      <c r="B168" s="943" t="s">
        <v>462</v>
      </c>
      <c r="C168" s="697">
        <v>8</v>
      </c>
      <c r="D168" s="944">
        <v>62000</v>
      </c>
      <c r="E168" s="487">
        <v>62000</v>
      </c>
      <c r="F168" s="486">
        <f t="shared" si="17"/>
        <v>0</v>
      </c>
    </row>
    <row r="169" spans="2:6" ht="15.75" hidden="1" thickBot="1" x14ac:dyDescent="0.3">
      <c r="B169" s="943" t="s">
        <v>463</v>
      </c>
      <c r="C169" s="697">
        <v>9</v>
      </c>
      <c r="D169" s="944">
        <v>127000</v>
      </c>
      <c r="E169" s="945">
        <v>127000</v>
      </c>
      <c r="F169" s="486">
        <f t="shared" si="17"/>
        <v>0</v>
      </c>
    </row>
    <row r="170" spans="2:6" ht="15.75" hidden="1" thickBot="1" x14ac:dyDescent="0.3">
      <c r="B170" s="943" t="s">
        <v>463</v>
      </c>
      <c r="C170" s="698">
        <v>10</v>
      </c>
      <c r="D170" s="944">
        <v>127000</v>
      </c>
      <c r="E170" s="945">
        <v>127000</v>
      </c>
      <c r="F170" s="486">
        <f t="shared" si="17"/>
        <v>0</v>
      </c>
    </row>
    <row r="171" spans="2:6" ht="15.75" hidden="1" thickBot="1" x14ac:dyDescent="0.3">
      <c r="B171" s="943" t="s">
        <v>463</v>
      </c>
      <c r="C171" s="697">
        <v>11</v>
      </c>
      <c r="D171" s="944">
        <v>127000</v>
      </c>
      <c r="E171" s="945">
        <v>127000</v>
      </c>
      <c r="F171" s="486">
        <f t="shared" si="17"/>
        <v>0</v>
      </c>
    </row>
    <row r="172" spans="2:6" ht="15.75" hidden="1" thickBot="1" x14ac:dyDescent="0.3">
      <c r="B172" s="943" t="s">
        <v>463</v>
      </c>
      <c r="C172" s="697">
        <v>12</v>
      </c>
      <c r="D172" s="944">
        <v>127000</v>
      </c>
      <c r="E172" s="945">
        <v>127000</v>
      </c>
      <c r="F172" s="486">
        <f t="shared" si="17"/>
        <v>0</v>
      </c>
    </row>
    <row r="173" spans="2:6" ht="15.75" hidden="1" thickBot="1" x14ac:dyDescent="0.3">
      <c r="B173" s="943" t="s">
        <v>463</v>
      </c>
      <c r="C173" s="698">
        <v>13</v>
      </c>
      <c r="D173" s="944">
        <v>127000</v>
      </c>
      <c r="E173" s="945">
        <v>127000</v>
      </c>
      <c r="F173" s="486">
        <f t="shared" si="17"/>
        <v>0</v>
      </c>
    </row>
    <row r="174" spans="2:6" ht="15.75" hidden="1" thickBot="1" x14ac:dyDescent="0.3">
      <c r="B174" s="943" t="s">
        <v>463</v>
      </c>
      <c r="C174" s="697">
        <v>14</v>
      </c>
      <c r="D174" s="944">
        <v>127000</v>
      </c>
      <c r="E174" s="945">
        <v>127000</v>
      </c>
      <c r="F174" s="486">
        <f t="shared" si="17"/>
        <v>0</v>
      </c>
    </row>
    <row r="175" spans="2:6" ht="15.75" hidden="1" thickBot="1" x14ac:dyDescent="0.3">
      <c r="B175" s="943" t="s">
        <v>463</v>
      </c>
      <c r="C175" s="697">
        <v>15</v>
      </c>
      <c r="D175" s="944">
        <v>127000</v>
      </c>
      <c r="E175" s="945">
        <v>127000</v>
      </c>
      <c r="F175" s="486">
        <f t="shared" si="17"/>
        <v>0</v>
      </c>
    </row>
    <row r="176" spans="2:6" ht="15.75" hidden="1" thickBot="1" x14ac:dyDescent="0.3">
      <c r="B176" s="943" t="s">
        <v>463</v>
      </c>
      <c r="C176" s="698">
        <v>16</v>
      </c>
      <c r="D176" s="944">
        <v>127000</v>
      </c>
      <c r="E176" s="945">
        <v>127000</v>
      </c>
      <c r="F176" s="486">
        <f t="shared" si="17"/>
        <v>0</v>
      </c>
    </row>
    <row r="177" spans="2:7" ht="15.75" hidden="1" thickBot="1" x14ac:dyDescent="0.3">
      <c r="B177" s="943" t="s">
        <v>463</v>
      </c>
      <c r="C177" s="697">
        <v>17</v>
      </c>
      <c r="D177" s="944">
        <v>127000</v>
      </c>
      <c r="E177" s="945">
        <v>127000</v>
      </c>
      <c r="F177" s="486">
        <f t="shared" si="17"/>
        <v>0</v>
      </c>
    </row>
    <row r="178" spans="2:7" ht="15.75" hidden="1" thickBot="1" x14ac:dyDescent="0.3">
      <c r="B178" s="500" t="s">
        <v>463</v>
      </c>
      <c r="C178" s="703">
        <v>18</v>
      </c>
      <c r="D178" s="495">
        <v>127000</v>
      </c>
      <c r="E178" s="488">
        <v>127000</v>
      </c>
      <c r="F178" s="486">
        <f t="shared" si="17"/>
        <v>0</v>
      </c>
    </row>
    <row r="179" spans="2:7" ht="15.75" thickBot="1" x14ac:dyDescent="0.3">
      <c r="B179" s="704" t="s">
        <v>313</v>
      </c>
      <c r="C179" s="705">
        <v>18</v>
      </c>
      <c r="D179" s="947">
        <f>SUM(D161:D178)</f>
        <v>1971511.88</v>
      </c>
      <c r="E179" s="706">
        <f t="shared" ref="E179:F179" si="18">SUM(E161:E178)</f>
        <v>1971511.88</v>
      </c>
      <c r="F179" s="707">
        <f t="shared" si="18"/>
        <v>0</v>
      </c>
      <c r="G179" s="616">
        <v>1</v>
      </c>
    </row>
    <row r="180" spans="2:7" ht="15.75" hidden="1" thickBot="1" x14ac:dyDescent="0.3">
      <c r="B180" s="499" t="s">
        <v>464</v>
      </c>
      <c r="C180" s="698">
        <v>1</v>
      </c>
      <c r="D180" s="497">
        <v>208800</v>
      </c>
      <c r="E180" s="487">
        <v>208800</v>
      </c>
      <c r="F180" s="486">
        <f>+D180-E180</f>
        <v>0</v>
      </c>
    </row>
    <row r="181" spans="2:7" ht="15.75" hidden="1" thickBot="1" x14ac:dyDescent="0.3">
      <c r="B181" s="943" t="s">
        <v>465</v>
      </c>
      <c r="C181" s="697">
        <v>2</v>
      </c>
      <c r="D181" s="944">
        <v>625240</v>
      </c>
      <c r="E181" s="945">
        <v>625240</v>
      </c>
      <c r="F181" s="486">
        <f t="shared" ref="F181:F184" si="19">+D181-E181</f>
        <v>0</v>
      </c>
    </row>
    <row r="182" spans="2:7" ht="15.75" hidden="1" thickBot="1" x14ac:dyDescent="0.3">
      <c r="B182" s="943" t="s">
        <v>465</v>
      </c>
      <c r="C182" s="697">
        <v>3</v>
      </c>
      <c r="D182" s="944">
        <v>625240</v>
      </c>
      <c r="E182" s="945">
        <v>625240</v>
      </c>
      <c r="F182" s="486">
        <f t="shared" si="19"/>
        <v>0</v>
      </c>
    </row>
    <row r="183" spans="2:7" ht="15.75" hidden="1" thickBot="1" x14ac:dyDescent="0.3">
      <c r="B183" s="943" t="s">
        <v>466</v>
      </c>
      <c r="C183" s="697">
        <v>4</v>
      </c>
      <c r="D183" s="944">
        <v>425000</v>
      </c>
      <c r="E183" s="945">
        <v>425000</v>
      </c>
      <c r="F183" s="486">
        <f t="shared" si="19"/>
        <v>0</v>
      </c>
    </row>
    <row r="184" spans="2:7" ht="15.75" hidden="1" thickBot="1" x14ac:dyDescent="0.3">
      <c r="B184" s="500" t="s">
        <v>467</v>
      </c>
      <c r="C184" s="703">
        <v>5</v>
      </c>
      <c r="D184" s="495">
        <v>950000</v>
      </c>
      <c r="E184" s="488">
        <v>950000</v>
      </c>
      <c r="F184" s="486">
        <f t="shared" si="19"/>
        <v>0</v>
      </c>
    </row>
    <row r="185" spans="2:7" ht="15.75" thickBot="1" x14ac:dyDescent="0.3">
      <c r="B185" s="704" t="s">
        <v>584</v>
      </c>
      <c r="C185" s="705">
        <v>5</v>
      </c>
      <c r="D185" s="947">
        <f>SUM(D180:D184)</f>
        <v>2834280</v>
      </c>
      <c r="E185" s="706">
        <f>SUM(E180:E184)</f>
        <v>2834280</v>
      </c>
      <c r="F185" s="707">
        <f>SUM(F180:F184)</f>
        <v>0</v>
      </c>
      <c r="G185" s="616">
        <v>1</v>
      </c>
    </row>
    <row r="186" spans="2:7" ht="15.75" hidden="1" thickBot="1" x14ac:dyDescent="0.3">
      <c r="B186" s="499" t="s">
        <v>468</v>
      </c>
      <c r="C186" s="698">
        <v>1</v>
      </c>
      <c r="D186" s="497">
        <v>102800</v>
      </c>
      <c r="E186" s="487">
        <v>102800</v>
      </c>
      <c r="F186" s="486">
        <f>+D186-E186</f>
        <v>0</v>
      </c>
    </row>
    <row r="187" spans="2:7" ht="15.75" hidden="1" thickBot="1" x14ac:dyDescent="0.3">
      <c r="B187" s="500" t="s">
        <v>469</v>
      </c>
      <c r="C187" s="703">
        <v>2</v>
      </c>
      <c r="D187" s="495">
        <v>198000</v>
      </c>
      <c r="E187" s="488">
        <v>198000</v>
      </c>
      <c r="F187" s="486">
        <f>+D187-E187</f>
        <v>0</v>
      </c>
    </row>
    <row r="188" spans="2:7" ht="15.75" thickBot="1" x14ac:dyDescent="0.3">
      <c r="B188" s="704" t="s">
        <v>585</v>
      </c>
      <c r="C188" s="705">
        <v>2</v>
      </c>
      <c r="D188" s="947">
        <f>SUM(D186:D187)</f>
        <v>300800</v>
      </c>
      <c r="E188" s="706">
        <f t="shared" ref="E188:F188" si="20">SUM(E186:E187)</f>
        <v>300800</v>
      </c>
      <c r="F188" s="707">
        <f t="shared" si="20"/>
        <v>0</v>
      </c>
      <c r="G188" s="616">
        <v>1</v>
      </c>
    </row>
    <row r="189" spans="2:7" ht="15.75" hidden="1" thickBot="1" x14ac:dyDescent="0.3">
      <c r="B189" s="499" t="s">
        <v>470</v>
      </c>
      <c r="C189" s="698">
        <v>1</v>
      </c>
      <c r="D189" s="497">
        <v>320984.3</v>
      </c>
      <c r="E189" s="487">
        <v>320984.3</v>
      </c>
      <c r="F189" s="486">
        <f>+D189-E189</f>
        <v>0</v>
      </c>
    </row>
    <row r="190" spans="2:7" ht="15.75" hidden="1" thickBot="1" x14ac:dyDescent="0.3">
      <c r="B190" s="943" t="s">
        <v>471</v>
      </c>
      <c r="C190" s="697">
        <v>2</v>
      </c>
      <c r="D190" s="944">
        <v>437029.9</v>
      </c>
      <c r="E190" s="945">
        <v>437029.9</v>
      </c>
      <c r="F190" s="486">
        <f t="shared" ref="F190:F253" si="21">+D190-E190</f>
        <v>0</v>
      </c>
    </row>
    <row r="191" spans="2:7" ht="15.75" hidden="1" thickBot="1" x14ac:dyDescent="0.3">
      <c r="B191" s="943" t="s">
        <v>472</v>
      </c>
      <c r="C191" s="697">
        <v>3</v>
      </c>
      <c r="D191" s="944">
        <v>437029.9</v>
      </c>
      <c r="E191" s="945">
        <v>437029.9</v>
      </c>
      <c r="F191" s="486">
        <f t="shared" si="21"/>
        <v>0</v>
      </c>
    </row>
    <row r="192" spans="2:7" ht="15.75" hidden="1" thickBot="1" x14ac:dyDescent="0.3">
      <c r="B192" s="943" t="s">
        <v>473</v>
      </c>
      <c r="C192" s="698">
        <v>4</v>
      </c>
      <c r="D192" s="944">
        <v>541029.97</v>
      </c>
      <c r="E192" s="945">
        <v>541029.97</v>
      </c>
      <c r="F192" s="486">
        <f t="shared" si="21"/>
        <v>0</v>
      </c>
    </row>
    <row r="193" spans="2:6" ht="15.75" hidden="1" thickBot="1" x14ac:dyDescent="0.3">
      <c r="B193" s="943" t="s">
        <v>474</v>
      </c>
      <c r="C193" s="697">
        <v>5</v>
      </c>
      <c r="D193" s="944">
        <v>604955.24</v>
      </c>
      <c r="E193" s="945">
        <v>604955.24</v>
      </c>
      <c r="F193" s="486">
        <f t="shared" si="21"/>
        <v>0</v>
      </c>
    </row>
    <row r="194" spans="2:6" ht="15.75" hidden="1" thickBot="1" x14ac:dyDescent="0.3">
      <c r="B194" s="943" t="s">
        <v>475</v>
      </c>
      <c r="C194" s="697">
        <v>6</v>
      </c>
      <c r="D194" s="944">
        <v>742299.37</v>
      </c>
      <c r="E194" s="945">
        <v>742299.37</v>
      </c>
      <c r="F194" s="486">
        <f t="shared" si="21"/>
        <v>0</v>
      </c>
    </row>
    <row r="195" spans="2:6" ht="15.75" hidden="1" thickBot="1" x14ac:dyDescent="0.3">
      <c r="B195" s="943" t="s">
        <v>476</v>
      </c>
      <c r="C195" s="698">
        <v>7</v>
      </c>
      <c r="D195" s="944">
        <v>513610.36</v>
      </c>
      <c r="E195" s="945">
        <v>513610.36</v>
      </c>
      <c r="F195" s="486">
        <f t="shared" si="21"/>
        <v>0</v>
      </c>
    </row>
    <row r="196" spans="2:6" ht="15.75" hidden="1" thickBot="1" x14ac:dyDescent="0.3">
      <c r="B196" s="943" t="s">
        <v>477</v>
      </c>
      <c r="C196" s="697">
        <v>8</v>
      </c>
      <c r="D196" s="944">
        <v>490167</v>
      </c>
      <c r="E196" s="945">
        <v>490167</v>
      </c>
      <c r="F196" s="486">
        <f t="shared" si="21"/>
        <v>0</v>
      </c>
    </row>
    <row r="197" spans="2:6" ht="15.75" hidden="1" thickBot="1" x14ac:dyDescent="0.3">
      <c r="B197" s="943" t="s">
        <v>478</v>
      </c>
      <c r="C197" s="697">
        <v>9</v>
      </c>
      <c r="D197" s="944">
        <v>412517.5</v>
      </c>
      <c r="E197" s="945">
        <v>412517.5</v>
      </c>
      <c r="F197" s="486">
        <f t="shared" si="21"/>
        <v>0</v>
      </c>
    </row>
    <row r="198" spans="2:6" ht="15.75" hidden="1" thickBot="1" x14ac:dyDescent="0.3">
      <c r="B198" s="943" t="s">
        <v>479</v>
      </c>
      <c r="C198" s="698">
        <v>10</v>
      </c>
      <c r="D198" s="944">
        <v>351072</v>
      </c>
      <c r="E198" s="945">
        <v>351072</v>
      </c>
      <c r="F198" s="486">
        <f t="shared" si="21"/>
        <v>0</v>
      </c>
    </row>
    <row r="199" spans="2:6" ht="15.75" hidden="1" thickBot="1" x14ac:dyDescent="0.3">
      <c r="B199" s="943" t="s">
        <v>480</v>
      </c>
      <c r="C199" s="697">
        <v>11</v>
      </c>
      <c r="D199" s="944">
        <v>554870.4</v>
      </c>
      <c r="E199" s="945">
        <v>554870.4</v>
      </c>
      <c r="F199" s="486">
        <f t="shared" si="21"/>
        <v>0</v>
      </c>
    </row>
    <row r="200" spans="2:6" ht="15.75" hidden="1" thickBot="1" x14ac:dyDescent="0.3">
      <c r="B200" s="943" t="s">
        <v>481</v>
      </c>
      <c r="C200" s="697">
        <v>12</v>
      </c>
      <c r="D200" s="944">
        <v>415032.93</v>
      </c>
      <c r="E200" s="945">
        <v>415032.93</v>
      </c>
      <c r="F200" s="486">
        <f t="shared" si="21"/>
        <v>0</v>
      </c>
    </row>
    <row r="201" spans="2:6" ht="15.75" hidden="1" thickBot="1" x14ac:dyDescent="0.3">
      <c r="B201" s="943" t="s">
        <v>482</v>
      </c>
      <c r="C201" s="698">
        <v>13</v>
      </c>
      <c r="D201" s="944">
        <v>415032.93</v>
      </c>
      <c r="E201" s="945">
        <v>415032.93</v>
      </c>
      <c r="F201" s="486">
        <f t="shared" si="21"/>
        <v>0</v>
      </c>
    </row>
    <row r="202" spans="2:6" ht="15.75" hidden="1" thickBot="1" x14ac:dyDescent="0.3">
      <c r="B202" s="943" t="s">
        <v>481</v>
      </c>
      <c r="C202" s="697">
        <v>14</v>
      </c>
      <c r="D202" s="944">
        <v>415032.93</v>
      </c>
      <c r="E202" s="945">
        <v>415032.93</v>
      </c>
      <c r="F202" s="486">
        <f t="shared" si="21"/>
        <v>0</v>
      </c>
    </row>
    <row r="203" spans="2:6" ht="15.75" hidden="1" thickBot="1" x14ac:dyDescent="0.3">
      <c r="B203" s="943" t="s">
        <v>481</v>
      </c>
      <c r="C203" s="697">
        <v>15</v>
      </c>
      <c r="D203" s="944">
        <v>415032.93</v>
      </c>
      <c r="E203" s="945">
        <v>415032.93</v>
      </c>
      <c r="F203" s="486">
        <f t="shared" si="21"/>
        <v>0</v>
      </c>
    </row>
    <row r="204" spans="2:6" ht="15.75" hidden="1" thickBot="1" x14ac:dyDescent="0.3">
      <c r="B204" s="943" t="s">
        <v>483</v>
      </c>
      <c r="C204" s="698">
        <v>16</v>
      </c>
      <c r="D204" s="944">
        <v>527514.81999999995</v>
      </c>
      <c r="E204" s="945">
        <v>527514.81999999995</v>
      </c>
      <c r="F204" s="486">
        <f t="shared" si="21"/>
        <v>0</v>
      </c>
    </row>
    <row r="205" spans="2:6" ht="15.75" hidden="1" thickBot="1" x14ac:dyDescent="0.3">
      <c r="B205" s="943" t="s">
        <v>484</v>
      </c>
      <c r="C205" s="697">
        <v>17</v>
      </c>
      <c r="D205" s="944">
        <v>362831.84</v>
      </c>
      <c r="E205" s="945">
        <v>362831.84</v>
      </c>
      <c r="F205" s="486">
        <f t="shared" si="21"/>
        <v>0</v>
      </c>
    </row>
    <row r="206" spans="2:6" ht="15.75" hidden="1" thickBot="1" x14ac:dyDescent="0.3">
      <c r="B206" s="943" t="s">
        <v>485</v>
      </c>
      <c r="C206" s="697">
        <v>18</v>
      </c>
      <c r="D206" s="944">
        <v>569067.19999999995</v>
      </c>
      <c r="E206" s="945">
        <v>569067.19999999995</v>
      </c>
      <c r="F206" s="486">
        <f t="shared" si="21"/>
        <v>0</v>
      </c>
    </row>
    <row r="207" spans="2:6" ht="15.75" hidden="1" thickBot="1" x14ac:dyDescent="0.3">
      <c r="B207" s="943" t="s">
        <v>486</v>
      </c>
      <c r="C207" s="698">
        <v>19</v>
      </c>
      <c r="D207" s="944">
        <v>563839</v>
      </c>
      <c r="E207" s="945">
        <v>563839</v>
      </c>
      <c r="F207" s="486">
        <f t="shared" si="21"/>
        <v>0</v>
      </c>
    </row>
    <row r="208" spans="2:6" ht="15.75" hidden="1" thickBot="1" x14ac:dyDescent="0.3">
      <c r="B208" s="943" t="s">
        <v>487</v>
      </c>
      <c r="C208" s="697">
        <v>20</v>
      </c>
      <c r="D208" s="944">
        <v>700000</v>
      </c>
      <c r="E208" s="945">
        <v>700000</v>
      </c>
      <c r="F208" s="486">
        <f t="shared" si="21"/>
        <v>0</v>
      </c>
    </row>
    <row r="209" spans="2:6" ht="15.75" hidden="1" thickBot="1" x14ac:dyDescent="0.3">
      <c r="B209" s="943" t="s">
        <v>488</v>
      </c>
      <c r="C209" s="697">
        <v>21</v>
      </c>
      <c r="D209" s="944">
        <v>422092.73</v>
      </c>
      <c r="E209" s="945">
        <v>422092.73</v>
      </c>
      <c r="F209" s="486">
        <f t="shared" si="21"/>
        <v>0</v>
      </c>
    </row>
    <row r="210" spans="2:6" ht="15.75" hidden="1" thickBot="1" x14ac:dyDescent="0.3">
      <c r="B210" s="943" t="s">
        <v>489</v>
      </c>
      <c r="C210" s="698">
        <v>22</v>
      </c>
      <c r="D210" s="944">
        <v>889170.7</v>
      </c>
      <c r="E210" s="945">
        <v>889170.7</v>
      </c>
      <c r="F210" s="486">
        <f t="shared" si="21"/>
        <v>0</v>
      </c>
    </row>
    <row r="211" spans="2:6" ht="15.75" hidden="1" thickBot="1" x14ac:dyDescent="0.3">
      <c r="B211" s="943" t="s">
        <v>490</v>
      </c>
      <c r="C211" s="697">
        <v>23</v>
      </c>
      <c r="D211" s="944">
        <v>634925</v>
      </c>
      <c r="E211" s="945">
        <v>634925</v>
      </c>
      <c r="F211" s="486">
        <f t="shared" si="21"/>
        <v>0</v>
      </c>
    </row>
    <row r="212" spans="2:6" ht="15.75" hidden="1" thickBot="1" x14ac:dyDescent="0.3">
      <c r="B212" s="943" t="s">
        <v>491</v>
      </c>
      <c r="C212" s="697">
        <v>24</v>
      </c>
      <c r="D212" s="944">
        <v>634925</v>
      </c>
      <c r="E212" s="945">
        <v>634925</v>
      </c>
      <c r="F212" s="486">
        <f t="shared" si="21"/>
        <v>0</v>
      </c>
    </row>
    <row r="213" spans="2:6" ht="15.75" hidden="1" thickBot="1" x14ac:dyDescent="0.3">
      <c r="B213" s="943" t="s">
        <v>492</v>
      </c>
      <c r="C213" s="698">
        <v>25</v>
      </c>
      <c r="D213" s="944">
        <v>712860</v>
      </c>
      <c r="E213" s="945">
        <v>712860</v>
      </c>
      <c r="F213" s="486">
        <f t="shared" si="21"/>
        <v>0</v>
      </c>
    </row>
    <row r="214" spans="2:6" ht="15.75" hidden="1" thickBot="1" x14ac:dyDescent="0.3">
      <c r="B214" s="943" t="s">
        <v>493</v>
      </c>
      <c r="C214" s="697">
        <v>26</v>
      </c>
      <c r="D214" s="944">
        <v>619665</v>
      </c>
      <c r="E214" s="945">
        <v>619665</v>
      </c>
      <c r="F214" s="486">
        <f t="shared" si="21"/>
        <v>0</v>
      </c>
    </row>
    <row r="215" spans="2:6" ht="15.75" hidden="1" thickBot="1" x14ac:dyDescent="0.3">
      <c r="B215" s="943" t="s">
        <v>494</v>
      </c>
      <c r="C215" s="697">
        <v>27</v>
      </c>
      <c r="D215" s="944">
        <v>619665</v>
      </c>
      <c r="E215" s="945">
        <v>619665</v>
      </c>
      <c r="F215" s="486">
        <f t="shared" si="21"/>
        <v>0</v>
      </c>
    </row>
    <row r="216" spans="2:6" ht="15.75" hidden="1" thickBot="1" x14ac:dyDescent="0.3">
      <c r="B216" s="943" t="s">
        <v>495</v>
      </c>
      <c r="C216" s="698">
        <v>28</v>
      </c>
      <c r="D216" s="944">
        <v>590267.69999999995</v>
      </c>
      <c r="E216" s="945">
        <v>590267.69999999995</v>
      </c>
      <c r="F216" s="486">
        <f t="shared" si="21"/>
        <v>0</v>
      </c>
    </row>
    <row r="217" spans="2:6" ht="15.75" hidden="1" thickBot="1" x14ac:dyDescent="0.3">
      <c r="B217" s="943" t="s">
        <v>496</v>
      </c>
      <c r="C217" s="697">
        <v>29</v>
      </c>
      <c r="D217" s="944">
        <v>604639.64</v>
      </c>
      <c r="E217" s="945">
        <v>604639.64</v>
      </c>
      <c r="F217" s="486">
        <f t="shared" si="21"/>
        <v>0</v>
      </c>
    </row>
    <row r="218" spans="2:6" ht="15.75" hidden="1" thickBot="1" x14ac:dyDescent="0.3">
      <c r="B218" s="943" t="s">
        <v>496</v>
      </c>
      <c r="C218" s="697">
        <v>30</v>
      </c>
      <c r="D218" s="944">
        <v>604639.64</v>
      </c>
      <c r="E218" s="945">
        <v>604639.64</v>
      </c>
      <c r="F218" s="486">
        <f t="shared" si="21"/>
        <v>0</v>
      </c>
    </row>
    <row r="219" spans="2:6" ht="15.75" hidden="1" thickBot="1" x14ac:dyDescent="0.3">
      <c r="B219" s="943" t="s">
        <v>497</v>
      </c>
      <c r="C219" s="698">
        <v>31</v>
      </c>
      <c r="D219" s="944">
        <v>411851.72</v>
      </c>
      <c r="E219" s="945">
        <v>411851.72</v>
      </c>
      <c r="F219" s="486">
        <f t="shared" si="21"/>
        <v>0</v>
      </c>
    </row>
    <row r="220" spans="2:6" ht="15.75" hidden="1" thickBot="1" x14ac:dyDescent="0.3">
      <c r="B220" s="943" t="s">
        <v>498</v>
      </c>
      <c r="C220" s="697">
        <v>32</v>
      </c>
      <c r="D220" s="944">
        <v>528413.43999999994</v>
      </c>
      <c r="E220" s="945">
        <v>528413.43999999994</v>
      </c>
      <c r="F220" s="486">
        <f t="shared" si="21"/>
        <v>0</v>
      </c>
    </row>
    <row r="221" spans="2:6" ht="15.75" hidden="1" thickBot="1" x14ac:dyDescent="0.3">
      <c r="B221" s="943" t="s">
        <v>499</v>
      </c>
      <c r="C221" s="697">
        <v>33</v>
      </c>
      <c r="D221" s="944">
        <v>576552.80000000005</v>
      </c>
      <c r="E221" s="945">
        <v>576552.80000000005</v>
      </c>
      <c r="F221" s="486">
        <f t="shared" si="21"/>
        <v>0</v>
      </c>
    </row>
    <row r="222" spans="2:6" ht="15.75" hidden="1" thickBot="1" x14ac:dyDescent="0.3">
      <c r="B222" s="943" t="s">
        <v>499</v>
      </c>
      <c r="C222" s="698">
        <v>34</v>
      </c>
      <c r="D222" s="944">
        <v>424857.84</v>
      </c>
      <c r="E222" s="945">
        <v>424857.84</v>
      </c>
      <c r="F222" s="486">
        <f t="shared" si="21"/>
        <v>0</v>
      </c>
    </row>
    <row r="223" spans="2:6" ht="15.75" hidden="1" thickBot="1" x14ac:dyDescent="0.3">
      <c r="B223" s="943" t="s">
        <v>499</v>
      </c>
      <c r="C223" s="697">
        <v>35</v>
      </c>
      <c r="D223" s="944">
        <v>424857.84</v>
      </c>
      <c r="E223" s="945">
        <v>424857.84</v>
      </c>
      <c r="F223" s="486">
        <f t="shared" si="21"/>
        <v>0</v>
      </c>
    </row>
    <row r="224" spans="2:6" ht="15.75" hidden="1" thickBot="1" x14ac:dyDescent="0.3">
      <c r="B224" s="943" t="s">
        <v>499</v>
      </c>
      <c r="C224" s="697">
        <v>36</v>
      </c>
      <c r="D224" s="944">
        <v>424857.84</v>
      </c>
      <c r="E224" s="945">
        <v>424857.84</v>
      </c>
      <c r="F224" s="486">
        <f t="shared" si="21"/>
        <v>0</v>
      </c>
    </row>
    <row r="225" spans="2:6" ht="15.75" hidden="1" thickBot="1" x14ac:dyDescent="0.3">
      <c r="B225" s="943" t="s">
        <v>499</v>
      </c>
      <c r="C225" s="698">
        <v>37</v>
      </c>
      <c r="D225" s="495">
        <v>424857.84</v>
      </c>
      <c r="E225" s="488">
        <v>424857.84</v>
      </c>
      <c r="F225" s="486">
        <f t="shared" si="21"/>
        <v>0</v>
      </c>
    </row>
    <row r="226" spans="2:6" ht="15.75" hidden="1" thickBot="1" x14ac:dyDescent="0.3">
      <c r="B226" s="943" t="s">
        <v>499</v>
      </c>
      <c r="C226" s="697">
        <v>38</v>
      </c>
      <c r="D226" s="944">
        <v>424857.84</v>
      </c>
      <c r="E226" s="945">
        <v>424857.84</v>
      </c>
      <c r="F226" s="486">
        <f t="shared" si="21"/>
        <v>0</v>
      </c>
    </row>
    <row r="227" spans="2:6" ht="15.75" hidden="1" thickBot="1" x14ac:dyDescent="0.3">
      <c r="B227" s="943" t="s">
        <v>500</v>
      </c>
      <c r="C227" s="697">
        <v>39</v>
      </c>
      <c r="D227" s="944">
        <v>576800</v>
      </c>
      <c r="E227" s="945">
        <v>576800</v>
      </c>
      <c r="F227" s="486">
        <f t="shared" si="21"/>
        <v>0</v>
      </c>
    </row>
    <row r="228" spans="2:6" ht="15.75" hidden="1" thickBot="1" x14ac:dyDescent="0.3">
      <c r="B228" s="943" t="s">
        <v>499</v>
      </c>
      <c r="C228" s="698">
        <v>40</v>
      </c>
      <c r="D228" s="944">
        <v>576800</v>
      </c>
      <c r="E228" s="945">
        <v>576800</v>
      </c>
      <c r="F228" s="486">
        <f t="shared" si="21"/>
        <v>0</v>
      </c>
    </row>
    <row r="229" spans="2:6" ht="15.75" hidden="1" thickBot="1" x14ac:dyDescent="0.3">
      <c r="B229" s="943" t="s">
        <v>499</v>
      </c>
      <c r="C229" s="697">
        <v>41</v>
      </c>
      <c r="D229" s="944">
        <v>679604.79999999993</v>
      </c>
      <c r="E229" s="945">
        <v>679604.79999999993</v>
      </c>
      <c r="F229" s="486">
        <f t="shared" si="21"/>
        <v>0</v>
      </c>
    </row>
    <row r="230" spans="2:6" ht="15.75" hidden="1" thickBot="1" x14ac:dyDescent="0.3">
      <c r="B230" s="943" t="s">
        <v>501</v>
      </c>
      <c r="C230" s="697">
        <v>42</v>
      </c>
      <c r="D230" s="944">
        <v>191744.514</v>
      </c>
      <c r="E230" s="945">
        <v>191744.514</v>
      </c>
      <c r="F230" s="486">
        <f t="shared" si="21"/>
        <v>0</v>
      </c>
    </row>
    <row r="231" spans="2:6" ht="15.75" hidden="1" thickBot="1" x14ac:dyDescent="0.3">
      <c r="B231" s="943" t="s">
        <v>502</v>
      </c>
      <c r="C231" s="698">
        <v>43</v>
      </c>
      <c r="D231" s="944">
        <v>574369.19999999995</v>
      </c>
      <c r="E231" s="945">
        <v>574369.19999999995</v>
      </c>
      <c r="F231" s="486">
        <f t="shared" si="21"/>
        <v>0</v>
      </c>
    </row>
    <row r="232" spans="2:6" ht="15.75" hidden="1" thickBot="1" x14ac:dyDescent="0.3">
      <c r="B232" s="943" t="s">
        <v>502</v>
      </c>
      <c r="C232" s="697">
        <v>44</v>
      </c>
      <c r="D232" s="944">
        <v>574369.19999999995</v>
      </c>
      <c r="E232" s="945">
        <v>574369.19999999995</v>
      </c>
      <c r="F232" s="486">
        <f t="shared" si="21"/>
        <v>0</v>
      </c>
    </row>
    <row r="233" spans="2:6" ht="15.75" hidden="1" thickBot="1" x14ac:dyDescent="0.3">
      <c r="B233" s="943" t="s">
        <v>502</v>
      </c>
      <c r="C233" s="697">
        <v>45</v>
      </c>
      <c r="D233" s="944">
        <v>584010</v>
      </c>
      <c r="E233" s="945">
        <v>584010</v>
      </c>
      <c r="F233" s="486">
        <f t="shared" si="21"/>
        <v>0</v>
      </c>
    </row>
    <row r="234" spans="2:6" ht="15.75" hidden="1" thickBot="1" x14ac:dyDescent="0.3">
      <c r="B234" s="943" t="s">
        <v>499</v>
      </c>
      <c r="C234" s="698">
        <v>46</v>
      </c>
      <c r="D234" s="944">
        <v>584380.80000000005</v>
      </c>
      <c r="E234" s="945">
        <v>584380.80000000005</v>
      </c>
      <c r="F234" s="486">
        <f t="shared" si="21"/>
        <v>0</v>
      </c>
    </row>
    <row r="235" spans="2:6" ht="15.75" hidden="1" thickBot="1" x14ac:dyDescent="0.3">
      <c r="B235" s="943" t="s">
        <v>499</v>
      </c>
      <c r="C235" s="697">
        <v>47</v>
      </c>
      <c r="D235" s="944">
        <v>584380.80000000005</v>
      </c>
      <c r="E235" s="945">
        <v>584380.80000000005</v>
      </c>
      <c r="F235" s="486">
        <f t="shared" si="21"/>
        <v>0</v>
      </c>
    </row>
    <row r="236" spans="2:6" ht="15.75" hidden="1" thickBot="1" x14ac:dyDescent="0.3">
      <c r="B236" s="943" t="s">
        <v>503</v>
      </c>
      <c r="C236" s="697">
        <v>48</v>
      </c>
      <c r="D236" s="944">
        <v>203205.65760000001</v>
      </c>
      <c r="E236" s="945">
        <v>203205.65760000001</v>
      </c>
      <c r="F236" s="486">
        <f t="shared" si="21"/>
        <v>0</v>
      </c>
    </row>
    <row r="237" spans="2:6" ht="15.75" hidden="1" thickBot="1" x14ac:dyDescent="0.3">
      <c r="B237" s="943" t="s">
        <v>504</v>
      </c>
      <c r="C237" s="698">
        <v>49</v>
      </c>
      <c r="D237" s="944">
        <v>203205.65760000001</v>
      </c>
      <c r="E237" s="945">
        <v>203205.65760000001</v>
      </c>
      <c r="F237" s="486">
        <f t="shared" si="21"/>
        <v>0</v>
      </c>
    </row>
    <row r="238" spans="2:6" ht="15.75" hidden="1" thickBot="1" x14ac:dyDescent="0.3">
      <c r="B238" s="943" t="s">
        <v>499</v>
      </c>
      <c r="C238" s="697">
        <v>50</v>
      </c>
      <c r="D238" s="944">
        <v>584380.80000000005</v>
      </c>
      <c r="E238" s="945">
        <v>584380.80000000005</v>
      </c>
      <c r="F238" s="486">
        <f t="shared" si="21"/>
        <v>0</v>
      </c>
    </row>
    <row r="239" spans="2:6" ht="15.75" hidden="1" thickBot="1" x14ac:dyDescent="0.3">
      <c r="B239" s="943" t="s">
        <v>505</v>
      </c>
      <c r="C239" s="697">
        <v>51</v>
      </c>
      <c r="D239" s="944">
        <v>228260.09799999997</v>
      </c>
      <c r="E239" s="945">
        <v>228260.09799999997</v>
      </c>
      <c r="F239" s="486">
        <f t="shared" si="21"/>
        <v>0</v>
      </c>
    </row>
    <row r="240" spans="2:6" ht="15.75" hidden="1" thickBot="1" x14ac:dyDescent="0.3">
      <c r="B240" s="943" t="s">
        <v>505</v>
      </c>
      <c r="C240" s="698">
        <v>52</v>
      </c>
      <c r="D240" s="944">
        <v>228260.09799999997</v>
      </c>
      <c r="E240" s="945">
        <v>228260.09799999997</v>
      </c>
      <c r="F240" s="486">
        <f t="shared" si="21"/>
        <v>0</v>
      </c>
    </row>
    <row r="241" spans="2:7" ht="15.75" hidden="1" thickBot="1" x14ac:dyDescent="0.3">
      <c r="B241" s="943" t="s">
        <v>506</v>
      </c>
      <c r="C241" s="697">
        <v>53</v>
      </c>
      <c r="D241" s="944">
        <v>787933.74320000003</v>
      </c>
      <c r="E241" s="945">
        <v>787933.74320000003</v>
      </c>
      <c r="F241" s="486">
        <f t="shared" si="21"/>
        <v>0</v>
      </c>
    </row>
    <row r="242" spans="2:7" ht="15.75" hidden="1" thickBot="1" x14ac:dyDescent="0.3">
      <c r="B242" s="943" t="s">
        <v>507</v>
      </c>
      <c r="C242" s="697">
        <v>54</v>
      </c>
      <c r="D242" s="944">
        <v>661300.93000000005</v>
      </c>
      <c r="E242" s="945">
        <v>661300.93000000005</v>
      </c>
      <c r="F242" s="486">
        <f t="shared" si="21"/>
        <v>0</v>
      </c>
    </row>
    <row r="243" spans="2:7" ht="15.75" hidden="1" thickBot="1" x14ac:dyDescent="0.3">
      <c r="B243" s="943" t="s">
        <v>507</v>
      </c>
      <c r="C243" s="698">
        <v>55</v>
      </c>
      <c r="D243" s="944">
        <v>661300.93000000005</v>
      </c>
      <c r="E243" s="945">
        <v>661300.93000000005</v>
      </c>
      <c r="F243" s="486">
        <f t="shared" si="21"/>
        <v>0</v>
      </c>
    </row>
    <row r="244" spans="2:7" ht="15.75" hidden="1" thickBot="1" x14ac:dyDescent="0.3">
      <c r="B244" s="943" t="s">
        <v>507</v>
      </c>
      <c r="C244" s="697">
        <v>56</v>
      </c>
      <c r="D244" s="944">
        <v>661300.93000000005</v>
      </c>
      <c r="E244" s="945">
        <v>661300.93000000005</v>
      </c>
      <c r="F244" s="486">
        <f t="shared" si="21"/>
        <v>0</v>
      </c>
    </row>
    <row r="245" spans="2:7" ht="15.75" hidden="1" thickBot="1" x14ac:dyDescent="0.3">
      <c r="B245" s="943" t="s">
        <v>508</v>
      </c>
      <c r="C245" s="697">
        <v>57</v>
      </c>
      <c r="D245" s="944">
        <v>547411.55000000005</v>
      </c>
      <c r="E245" s="945">
        <v>547411.55000000005</v>
      </c>
      <c r="F245" s="486">
        <f t="shared" si="21"/>
        <v>0</v>
      </c>
    </row>
    <row r="246" spans="2:7" ht="15.75" hidden="1" thickBot="1" x14ac:dyDescent="0.3">
      <c r="B246" s="943" t="s">
        <v>509</v>
      </c>
      <c r="C246" s="698">
        <v>58</v>
      </c>
      <c r="D246" s="944">
        <v>584995</v>
      </c>
      <c r="E246" s="945">
        <v>584995</v>
      </c>
      <c r="F246" s="486">
        <f t="shared" si="21"/>
        <v>0</v>
      </c>
    </row>
    <row r="247" spans="2:7" ht="15.75" hidden="1" thickBot="1" x14ac:dyDescent="0.3">
      <c r="B247" s="943" t="s">
        <v>510</v>
      </c>
      <c r="C247" s="697">
        <v>59</v>
      </c>
      <c r="D247" s="944">
        <v>689500</v>
      </c>
      <c r="E247" s="945">
        <v>689500</v>
      </c>
      <c r="F247" s="486">
        <f t="shared" si="21"/>
        <v>0</v>
      </c>
    </row>
    <row r="248" spans="2:7" ht="15.75" hidden="1" thickBot="1" x14ac:dyDescent="0.3">
      <c r="B248" s="943" t="s">
        <v>510</v>
      </c>
      <c r="C248" s="697">
        <v>60</v>
      </c>
      <c r="D248" s="944">
        <v>689500</v>
      </c>
      <c r="E248" s="945">
        <v>689500</v>
      </c>
      <c r="F248" s="486">
        <f t="shared" si="21"/>
        <v>0</v>
      </c>
    </row>
    <row r="249" spans="2:7" ht="15.75" hidden="1" thickBot="1" x14ac:dyDescent="0.3">
      <c r="B249" s="943" t="s">
        <v>511</v>
      </c>
      <c r="C249" s="698">
        <v>61</v>
      </c>
      <c r="D249" s="944">
        <v>831739.72249999992</v>
      </c>
      <c r="E249" s="487">
        <v>831739.72249999992</v>
      </c>
      <c r="F249" s="486">
        <f t="shared" si="21"/>
        <v>0</v>
      </c>
    </row>
    <row r="250" spans="2:7" ht="15.75" hidden="1" thickBot="1" x14ac:dyDescent="0.3">
      <c r="B250" s="943" t="s">
        <v>512</v>
      </c>
      <c r="C250" s="697">
        <v>62</v>
      </c>
      <c r="D250" s="944">
        <v>398074.28549999994</v>
      </c>
      <c r="E250" s="487">
        <v>398074.28549999994</v>
      </c>
      <c r="F250" s="486">
        <f t="shared" si="21"/>
        <v>0</v>
      </c>
    </row>
    <row r="251" spans="2:7" ht="15.75" hidden="1" thickBot="1" x14ac:dyDescent="0.3">
      <c r="B251" s="943" t="s">
        <v>512</v>
      </c>
      <c r="C251" s="697">
        <v>63</v>
      </c>
      <c r="D251" s="944">
        <v>398074.28549999994</v>
      </c>
      <c r="E251" s="487">
        <v>398074.28549999994</v>
      </c>
      <c r="F251" s="486">
        <f t="shared" si="21"/>
        <v>0</v>
      </c>
    </row>
    <row r="252" spans="2:7" ht="15.75" hidden="1" thickBot="1" x14ac:dyDescent="0.3">
      <c r="B252" s="943" t="s">
        <v>512</v>
      </c>
      <c r="C252" s="698">
        <v>64</v>
      </c>
      <c r="D252" s="944">
        <v>398074.28549999994</v>
      </c>
      <c r="E252" s="487">
        <v>398074.28549999994</v>
      </c>
      <c r="F252" s="486">
        <f t="shared" si="21"/>
        <v>0</v>
      </c>
    </row>
    <row r="253" spans="2:7" ht="15.75" hidden="1" thickBot="1" x14ac:dyDescent="0.3">
      <c r="B253" s="943" t="s">
        <v>513</v>
      </c>
      <c r="C253" s="697">
        <v>65</v>
      </c>
      <c r="D253" s="944">
        <v>586396.75679999997</v>
      </c>
      <c r="E253" s="487">
        <v>586396.75679999997</v>
      </c>
      <c r="F253" s="486">
        <f t="shared" si="21"/>
        <v>0</v>
      </c>
    </row>
    <row r="254" spans="2:7" ht="15.75" hidden="1" thickBot="1" x14ac:dyDescent="0.3">
      <c r="B254" s="943" t="s">
        <v>512</v>
      </c>
      <c r="C254" s="697">
        <v>66</v>
      </c>
      <c r="D254" s="944">
        <v>398074.28549999994</v>
      </c>
      <c r="E254" s="487">
        <v>398074.28549999994</v>
      </c>
      <c r="F254" s="486">
        <f t="shared" ref="F254:F255" si="22">+D254-E254</f>
        <v>0</v>
      </c>
    </row>
    <row r="255" spans="2:7" ht="15.75" hidden="1" thickBot="1" x14ac:dyDescent="0.3">
      <c r="B255" s="500" t="s">
        <v>512</v>
      </c>
      <c r="C255" s="708">
        <v>67</v>
      </c>
      <c r="D255" s="495">
        <v>398074.28549999994</v>
      </c>
      <c r="E255" s="489">
        <v>398074.28549999994</v>
      </c>
      <c r="F255" s="486">
        <f t="shared" si="22"/>
        <v>0</v>
      </c>
    </row>
    <row r="256" spans="2:7" ht="15.75" thickBot="1" x14ac:dyDescent="0.3">
      <c r="B256" s="704" t="s">
        <v>314</v>
      </c>
      <c r="C256" s="705">
        <v>67</v>
      </c>
      <c r="D256" s="947">
        <f>SUM(D189:D255)</f>
        <v>34828430.705200002</v>
      </c>
      <c r="E256" s="706">
        <f t="shared" ref="E256:F256" si="23">SUM(E189:E255)</f>
        <v>34828430.705200002</v>
      </c>
      <c r="F256" s="707">
        <f t="shared" si="23"/>
        <v>0</v>
      </c>
      <c r="G256" s="616">
        <v>1</v>
      </c>
    </row>
    <row r="257" spans="2:6" ht="15" hidden="1" x14ac:dyDescent="0.25">
      <c r="B257" s="499" t="s">
        <v>514</v>
      </c>
      <c r="C257" s="698">
        <v>1</v>
      </c>
      <c r="D257" s="497">
        <v>894694.36</v>
      </c>
      <c r="E257" s="487">
        <v>894694.36</v>
      </c>
      <c r="F257" s="486">
        <f>+D257-E257</f>
        <v>0</v>
      </c>
    </row>
    <row r="258" spans="2:6" ht="15" hidden="1" x14ac:dyDescent="0.25">
      <c r="B258" s="943" t="s">
        <v>515</v>
      </c>
      <c r="C258" s="697">
        <v>2</v>
      </c>
      <c r="D258" s="944">
        <v>206681</v>
      </c>
      <c r="E258" s="487">
        <v>206681</v>
      </c>
      <c r="F258" s="486">
        <f t="shared" ref="F258:F281" si="24">+D258-E258</f>
        <v>0</v>
      </c>
    </row>
    <row r="259" spans="2:6" ht="15" hidden="1" x14ac:dyDescent="0.25">
      <c r="B259" s="943" t="s">
        <v>516</v>
      </c>
      <c r="C259" s="697">
        <v>3</v>
      </c>
      <c r="D259" s="944">
        <v>153875.67000000001</v>
      </c>
      <c r="E259" s="487">
        <v>153875.67000000001</v>
      </c>
      <c r="F259" s="486">
        <f t="shared" si="24"/>
        <v>0</v>
      </c>
    </row>
    <row r="260" spans="2:6" ht="15" hidden="1" x14ac:dyDescent="0.25">
      <c r="B260" s="943" t="s">
        <v>517</v>
      </c>
      <c r="C260" s="698">
        <v>4</v>
      </c>
      <c r="D260" s="944">
        <v>309127.46000000002</v>
      </c>
      <c r="E260" s="487">
        <v>309127.46000000002</v>
      </c>
      <c r="F260" s="486">
        <f t="shared" si="24"/>
        <v>0</v>
      </c>
    </row>
    <row r="261" spans="2:6" ht="15" hidden="1" x14ac:dyDescent="0.25">
      <c r="B261" s="943" t="s">
        <v>518</v>
      </c>
      <c r="C261" s="697">
        <v>5</v>
      </c>
      <c r="D261" s="944">
        <v>167233.48000000001</v>
      </c>
      <c r="E261" s="487">
        <v>167233.48000000001</v>
      </c>
      <c r="F261" s="486">
        <f t="shared" si="24"/>
        <v>0</v>
      </c>
    </row>
    <row r="262" spans="2:6" ht="15" hidden="1" x14ac:dyDescent="0.25">
      <c r="B262" s="943" t="s">
        <v>519</v>
      </c>
      <c r="C262" s="697">
        <v>6</v>
      </c>
      <c r="D262" s="944">
        <v>195551</v>
      </c>
      <c r="E262" s="487">
        <v>195551</v>
      </c>
      <c r="F262" s="486">
        <f t="shared" si="24"/>
        <v>0</v>
      </c>
    </row>
    <row r="263" spans="2:6" ht="15" hidden="1" x14ac:dyDescent="0.25">
      <c r="B263" s="943" t="s">
        <v>520</v>
      </c>
      <c r="C263" s="698">
        <v>7</v>
      </c>
      <c r="D263" s="944">
        <v>216287</v>
      </c>
      <c r="E263" s="487">
        <v>216287</v>
      </c>
      <c r="F263" s="486">
        <f t="shared" si="24"/>
        <v>0</v>
      </c>
    </row>
    <row r="264" spans="2:6" ht="15" hidden="1" x14ac:dyDescent="0.25">
      <c r="B264" s="943" t="s">
        <v>521</v>
      </c>
      <c r="C264" s="697">
        <v>8</v>
      </c>
      <c r="D264" s="944">
        <v>1687865</v>
      </c>
      <c r="E264" s="487">
        <v>1687865</v>
      </c>
      <c r="F264" s="486">
        <f t="shared" si="24"/>
        <v>0</v>
      </c>
    </row>
    <row r="265" spans="2:6" ht="15" hidden="1" x14ac:dyDescent="0.25">
      <c r="B265" s="943" t="s">
        <v>522</v>
      </c>
      <c r="C265" s="697">
        <v>9</v>
      </c>
      <c r="D265" s="944">
        <v>172646.63</v>
      </c>
      <c r="E265" s="487">
        <v>172646.63</v>
      </c>
      <c r="F265" s="486">
        <f t="shared" si="24"/>
        <v>0</v>
      </c>
    </row>
    <row r="266" spans="2:6" ht="15" hidden="1" x14ac:dyDescent="0.25">
      <c r="B266" s="943" t="s">
        <v>523</v>
      </c>
      <c r="C266" s="698">
        <v>10</v>
      </c>
      <c r="D266" s="944">
        <v>725297.32</v>
      </c>
      <c r="E266" s="487">
        <v>725297.32</v>
      </c>
      <c r="F266" s="486">
        <f t="shared" si="24"/>
        <v>0</v>
      </c>
    </row>
    <row r="267" spans="2:6" ht="15" hidden="1" x14ac:dyDescent="0.25">
      <c r="B267" s="943" t="s">
        <v>524</v>
      </c>
      <c r="C267" s="697">
        <v>11</v>
      </c>
      <c r="D267" s="944">
        <v>155014.51</v>
      </c>
      <c r="E267" s="487">
        <v>155014.51</v>
      </c>
      <c r="F267" s="486">
        <f t="shared" si="24"/>
        <v>0</v>
      </c>
    </row>
    <row r="268" spans="2:6" ht="15" hidden="1" x14ac:dyDescent="0.25">
      <c r="B268" s="943" t="s">
        <v>524</v>
      </c>
      <c r="C268" s="697">
        <v>12</v>
      </c>
      <c r="D268" s="944">
        <v>155014.51</v>
      </c>
      <c r="E268" s="487">
        <v>155014.51</v>
      </c>
      <c r="F268" s="486">
        <f t="shared" si="24"/>
        <v>0</v>
      </c>
    </row>
    <row r="269" spans="2:6" ht="15" hidden="1" x14ac:dyDescent="0.25">
      <c r="B269" s="943" t="s">
        <v>525</v>
      </c>
      <c r="C269" s="698">
        <v>13</v>
      </c>
      <c r="D269" s="944">
        <v>86762.8</v>
      </c>
      <c r="E269" s="487">
        <v>86762.8</v>
      </c>
      <c r="F269" s="486">
        <f t="shared" si="24"/>
        <v>0</v>
      </c>
    </row>
    <row r="270" spans="2:6" ht="15" hidden="1" x14ac:dyDescent="0.25">
      <c r="B270" s="943" t="s">
        <v>525</v>
      </c>
      <c r="C270" s="697">
        <v>14</v>
      </c>
      <c r="D270" s="944">
        <v>86762.8</v>
      </c>
      <c r="E270" s="487">
        <v>86762.8</v>
      </c>
      <c r="F270" s="486">
        <f t="shared" si="24"/>
        <v>0</v>
      </c>
    </row>
    <row r="271" spans="2:6" ht="15" hidden="1" x14ac:dyDescent="0.25">
      <c r="B271" s="943" t="s">
        <v>526</v>
      </c>
      <c r="C271" s="697">
        <v>15</v>
      </c>
      <c r="D271" s="944">
        <v>300484.80000000005</v>
      </c>
      <c r="E271" s="487">
        <v>300484.80000000005</v>
      </c>
      <c r="F271" s="486">
        <f t="shared" si="24"/>
        <v>0</v>
      </c>
    </row>
    <row r="272" spans="2:6" ht="15" hidden="1" x14ac:dyDescent="0.25">
      <c r="B272" s="943" t="s">
        <v>527</v>
      </c>
      <c r="C272" s="698">
        <v>16</v>
      </c>
      <c r="D272" s="944">
        <v>149043.76999999999</v>
      </c>
      <c r="E272" s="487">
        <v>149043.76999999999</v>
      </c>
      <c r="F272" s="486">
        <f t="shared" si="24"/>
        <v>0</v>
      </c>
    </row>
    <row r="273" spans="2:7" ht="15" hidden="1" x14ac:dyDescent="0.25">
      <c r="B273" s="943" t="s">
        <v>527</v>
      </c>
      <c r="C273" s="697">
        <v>17</v>
      </c>
      <c r="D273" s="944">
        <v>149043.76999999999</v>
      </c>
      <c r="E273" s="487">
        <v>149043.76999999999</v>
      </c>
      <c r="F273" s="486">
        <f t="shared" si="24"/>
        <v>0</v>
      </c>
    </row>
    <row r="274" spans="2:7" ht="15" hidden="1" x14ac:dyDescent="0.25">
      <c r="B274" s="943" t="s">
        <v>528</v>
      </c>
      <c r="C274" s="697">
        <v>18</v>
      </c>
      <c r="D274" s="944">
        <v>99500</v>
      </c>
      <c r="E274" s="945">
        <v>99500</v>
      </c>
      <c r="F274" s="486">
        <f t="shared" si="24"/>
        <v>0</v>
      </c>
    </row>
    <row r="275" spans="2:7" ht="15" hidden="1" x14ac:dyDescent="0.25">
      <c r="B275" s="943" t="s">
        <v>528</v>
      </c>
      <c r="C275" s="698">
        <v>19</v>
      </c>
      <c r="D275" s="944">
        <v>99500</v>
      </c>
      <c r="E275" s="945">
        <v>99500</v>
      </c>
      <c r="F275" s="486">
        <f t="shared" si="24"/>
        <v>0</v>
      </c>
    </row>
    <row r="276" spans="2:7" ht="15" hidden="1" x14ac:dyDescent="0.25">
      <c r="B276" s="943" t="s">
        <v>528</v>
      </c>
      <c r="C276" s="697">
        <v>20</v>
      </c>
      <c r="D276" s="944">
        <v>99500</v>
      </c>
      <c r="E276" s="945">
        <v>99500</v>
      </c>
      <c r="F276" s="486">
        <f t="shared" si="24"/>
        <v>0</v>
      </c>
    </row>
    <row r="277" spans="2:7" ht="15" hidden="1" x14ac:dyDescent="0.25">
      <c r="B277" s="943" t="s">
        <v>529</v>
      </c>
      <c r="C277" s="955">
        <v>21</v>
      </c>
      <c r="D277" s="944">
        <v>3233152</v>
      </c>
      <c r="E277" s="487">
        <v>3233152</v>
      </c>
      <c r="F277" s="486">
        <f t="shared" si="24"/>
        <v>0</v>
      </c>
    </row>
    <row r="278" spans="2:7" ht="15" hidden="1" x14ac:dyDescent="0.25">
      <c r="B278" s="956" t="s">
        <v>530</v>
      </c>
      <c r="C278" s="957">
        <v>22</v>
      </c>
      <c r="D278" s="944">
        <v>797972.18</v>
      </c>
      <c r="E278" s="945">
        <v>797972.18</v>
      </c>
      <c r="F278" s="945">
        <f>+D278-E278</f>
        <v>0</v>
      </c>
    </row>
    <row r="279" spans="2:7" ht="15" hidden="1" x14ac:dyDescent="0.25">
      <c r="B279" s="956" t="s">
        <v>695</v>
      </c>
      <c r="C279" s="957">
        <v>23</v>
      </c>
      <c r="D279" s="945">
        <v>170390.791</v>
      </c>
      <c r="E279" s="945">
        <v>170390.791</v>
      </c>
      <c r="F279" s="945">
        <f>+D279-E279</f>
        <v>0</v>
      </c>
      <c r="G279" s="616">
        <v>1</v>
      </c>
    </row>
    <row r="280" spans="2:7" ht="15" hidden="1" x14ac:dyDescent="0.25">
      <c r="B280" s="956" t="s">
        <v>696</v>
      </c>
      <c r="C280" s="955">
        <v>24</v>
      </c>
      <c r="D280" s="945">
        <v>93016.621000000014</v>
      </c>
      <c r="E280" s="945">
        <v>93016.621000000014</v>
      </c>
      <c r="F280" s="945">
        <f t="shared" si="24"/>
        <v>0</v>
      </c>
    </row>
    <row r="281" spans="2:7" ht="15.75" hidden="1" thickBot="1" x14ac:dyDescent="0.3">
      <c r="B281" s="956" t="s">
        <v>697</v>
      </c>
      <c r="C281" s="717">
        <v>25</v>
      </c>
      <c r="D281" s="945">
        <v>729729</v>
      </c>
      <c r="E281" s="945">
        <v>729729</v>
      </c>
      <c r="F281" s="945">
        <f t="shared" si="24"/>
        <v>0</v>
      </c>
    </row>
    <row r="282" spans="2:7" ht="15.75" thickBot="1" x14ac:dyDescent="0.3">
      <c r="B282" s="958" t="s">
        <v>315</v>
      </c>
      <c r="C282" s="949">
        <v>25</v>
      </c>
      <c r="D282" s="959">
        <f>SUM(D257:D281)</f>
        <v>11134146.471999997</v>
      </c>
      <c r="E282" s="959">
        <f>SUM(E257:E281)</f>
        <v>11134146.471999997</v>
      </c>
      <c r="F282" s="960">
        <f t="shared" ref="F282" si="25">SUM(F257:F278)</f>
        <v>0</v>
      </c>
    </row>
    <row r="283" spans="2:7" ht="15.75" hidden="1" thickBot="1" x14ac:dyDescent="0.3">
      <c r="B283" s="499" t="s">
        <v>531</v>
      </c>
      <c r="C283" s="698">
        <v>1</v>
      </c>
      <c r="D283" s="497">
        <v>55622.82</v>
      </c>
      <c r="E283" s="487">
        <v>55622.82</v>
      </c>
      <c r="F283" s="486">
        <f>+D283-E283</f>
        <v>0</v>
      </c>
    </row>
    <row r="284" spans="2:7" ht="15.75" hidden="1" thickBot="1" x14ac:dyDescent="0.3">
      <c r="B284" s="943" t="s">
        <v>532</v>
      </c>
      <c r="C284" s="697">
        <v>2</v>
      </c>
      <c r="D284" s="944">
        <v>76505.45</v>
      </c>
      <c r="E284" s="945">
        <v>76505.45</v>
      </c>
      <c r="F284" s="486">
        <f t="shared" ref="F284:F332" si="26">+D284-E284</f>
        <v>0</v>
      </c>
    </row>
    <row r="285" spans="2:7" ht="15.75" hidden="1" thickBot="1" x14ac:dyDescent="0.3">
      <c r="B285" s="943" t="s">
        <v>532</v>
      </c>
      <c r="C285" s="697">
        <v>3</v>
      </c>
      <c r="D285" s="944">
        <v>76505.45</v>
      </c>
      <c r="E285" s="945">
        <v>76505.45</v>
      </c>
      <c r="F285" s="486">
        <f t="shared" si="26"/>
        <v>0</v>
      </c>
    </row>
    <row r="286" spans="2:7" ht="15.75" hidden="1" thickBot="1" x14ac:dyDescent="0.3">
      <c r="B286" s="943" t="s">
        <v>533</v>
      </c>
      <c r="C286" s="698">
        <v>4</v>
      </c>
      <c r="D286" s="944">
        <v>95890</v>
      </c>
      <c r="E286" s="945">
        <v>95890</v>
      </c>
      <c r="F286" s="486">
        <f t="shared" si="26"/>
        <v>0</v>
      </c>
    </row>
    <row r="287" spans="2:7" ht="15.75" hidden="1" thickBot="1" x14ac:dyDescent="0.3">
      <c r="B287" s="943" t="s">
        <v>534</v>
      </c>
      <c r="C287" s="697">
        <v>5</v>
      </c>
      <c r="D287" s="944">
        <v>95561.74</v>
      </c>
      <c r="E287" s="945">
        <v>95561.74</v>
      </c>
      <c r="F287" s="486">
        <f t="shared" si="26"/>
        <v>0</v>
      </c>
    </row>
    <row r="288" spans="2:7" ht="15.75" hidden="1" thickBot="1" x14ac:dyDescent="0.3">
      <c r="B288" s="943" t="s">
        <v>535</v>
      </c>
      <c r="C288" s="697">
        <v>6</v>
      </c>
      <c r="D288" s="944">
        <v>94056</v>
      </c>
      <c r="E288" s="945">
        <v>94056</v>
      </c>
      <c r="F288" s="486">
        <f t="shared" si="26"/>
        <v>0</v>
      </c>
    </row>
    <row r="289" spans="2:6" ht="15.75" hidden="1" thickBot="1" x14ac:dyDescent="0.3">
      <c r="B289" s="943" t="s">
        <v>536</v>
      </c>
      <c r="C289" s="698">
        <v>7</v>
      </c>
      <c r="D289" s="944">
        <v>94056</v>
      </c>
      <c r="E289" s="945">
        <v>94056</v>
      </c>
      <c r="F289" s="486">
        <f t="shared" si="26"/>
        <v>0</v>
      </c>
    </row>
    <row r="290" spans="2:6" ht="15.75" hidden="1" thickBot="1" x14ac:dyDescent="0.3">
      <c r="B290" s="943" t="s">
        <v>535</v>
      </c>
      <c r="C290" s="697">
        <v>8</v>
      </c>
      <c r="D290" s="944">
        <v>94056</v>
      </c>
      <c r="E290" s="945">
        <v>94056</v>
      </c>
      <c r="F290" s="486">
        <f t="shared" si="26"/>
        <v>0</v>
      </c>
    </row>
    <row r="291" spans="2:6" ht="15.75" hidden="1" thickBot="1" x14ac:dyDescent="0.3">
      <c r="B291" s="943" t="s">
        <v>536</v>
      </c>
      <c r="C291" s="697">
        <v>9</v>
      </c>
      <c r="D291" s="944">
        <v>94056</v>
      </c>
      <c r="E291" s="945">
        <v>94056</v>
      </c>
      <c r="F291" s="486">
        <f t="shared" si="26"/>
        <v>0</v>
      </c>
    </row>
    <row r="292" spans="2:6" ht="15.75" hidden="1" thickBot="1" x14ac:dyDescent="0.3">
      <c r="B292" s="943" t="s">
        <v>535</v>
      </c>
      <c r="C292" s="698">
        <v>10</v>
      </c>
      <c r="D292" s="944">
        <v>94056</v>
      </c>
      <c r="E292" s="945">
        <v>94056</v>
      </c>
      <c r="F292" s="486">
        <f t="shared" si="26"/>
        <v>0</v>
      </c>
    </row>
    <row r="293" spans="2:6" ht="15.75" hidden="1" thickBot="1" x14ac:dyDescent="0.3">
      <c r="B293" s="943" t="s">
        <v>535</v>
      </c>
      <c r="C293" s="697">
        <v>11</v>
      </c>
      <c r="D293" s="944">
        <v>94056</v>
      </c>
      <c r="E293" s="945">
        <v>94056</v>
      </c>
      <c r="F293" s="486">
        <f t="shared" si="26"/>
        <v>0</v>
      </c>
    </row>
    <row r="294" spans="2:6" ht="15.75" hidden="1" thickBot="1" x14ac:dyDescent="0.3">
      <c r="B294" s="943" t="s">
        <v>535</v>
      </c>
      <c r="C294" s="697">
        <v>12</v>
      </c>
      <c r="D294" s="944">
        <v>94056</v>
      </c>
      <c r="E294" s="945">
        <v>94056</v>
      </c>
      <c r="F294" s="486">
        <f t="shared" si="26"/>
        <v>0</v>
      </c>
    </row>
    <row r="295" spans="2:6" ht="15.75" hidden="1" thickBot="1" x14ac:dyDescent="0.3">
      <c r="B295" s="943" t="s">
        <v>537</v>
      </c>
      <c r="C295" s="698">
        <v>13</v>
      </c>
      <c r="D295" s="944">
        <v>94056</v>
      </c>
      <c r="E295" s="945">
        <v>94056</v>
      </c>
      <c r="F295" s="486">
        <f t="shared" si="26"/>
        <v>0</v>
      </c>
    </row>
    <row r="296" spans="2:6" ht="15.75" hidden="1" thickBot="1" x14ac:dyDescent="0.3">
      <c r="B296" s="943" t="s">
        <v>538</v>
      </c>
      <c r="C296" s="697">
        <v>14</v>
      </c>
      <c r="D296" s="944">
        <v>72424.149999999994</v>
      </c>
      <c r="E296" s="945">
        <v>72424.149999999994</v>
      </c>
      <c r="F296" s="486">
        <f t="shared" si="26"/>
        <v>0</v>
      </c>
    </row>
    <row r="297" spans="2:6" ht="15.75" hidden="1" thickBot="1" x14ac:dyDescent="0.3">
      <c r="B297" s="943" t="s">
        <v>539</v>
      </c>
      <c r="C297" s="697">
        <v>15</v>
      </c>
      <c r="D297" s="944">
        <v>84693.5</v>
      </c>
      <c r="E297" s="945">
        <v>84693.5</v>
      </c>
      <c r="F297" s="486">
        <f t="shared" si="26"/>
        <v>0</v>
      </c>
    </row>
    <row r="298" spans="2:6" ht="15.75" hidden="1" thickBot="1" x14ac:dyDescent="0.3">
      <c r="B298" s="943" t="s">
        <v>540</v>
      </c>
      <c r="C298" s="698">
        <v>16</v>
      </c>
      <c r="D298" s="944">
        <v>78234</v>
      </c>
      <c r="E298" s="945">
        <v>78234</v>
      </c>
      <c r="F298" s="486">
        <f t="shared" si="26"/>
        <v>0</v>
      </c>
    </row>
    <row r="299" spans="2:6" ht="15.75" hidden="1" thickBot="1" x14ac:dyDescent="0.3">
      <c r="B299" s="943" t="s">
        <v>541</v>
      </c>
      <c r="C299" s="697">
        <v>17</v>
      </c>
      <c r="D299" s="944">
        <v>72485</v>
      </c>
      <c r="E299" s="945">
        <v>72485</v>
      </c>
      <c r="F299" s="486">
        <f t="shared" si="26"/>
        <v>0</v>
      </c>
    </row>
    <row r="300" spans="2:6" ht="15.75" hidden="1" thickBot="1" x14ac:dyDescent="0.3">
      <c r="B300" s="943" t="s">
        <v>542</v>
      </c>
      <c r="C300" s="697">
        <v>18</v>
      </c>
      <c r="D300" s="944">
        <v>80660</v>
      </c>
      <c r="E300" s="945">
        <v>80660</v>
      </c>
      <c r="F300" s="486">
        <f t="shared" si="26"/>
        <v>0</v>
      </c>
    </row>
    <row r="301" spans="2:6" ht="15.75" hidden="1" thickBot="1" x14ac:dyDescent="0.3">
      <c r="B301" s="943" t="s">
        <v>543</v>
      </c>
      <c r="C301" s="698">
        <v>19</v>
      </c>
      <c r="D301" s="944">
        <v>80660</v>
      </c>
      <c r="E301" s="945">
        <v>80660</v>
      </c>
      <c r="F301" s="486">
        <f t="shared" si="26"/>
        <v>0</v>
      </c>
    </row>
    <row r="302" spans="2:6" ht="15.75" hidden="1" thickBot="1" x14ac:dyDescent="0.3">
      <c r="B302" s="943" t="s">
        <v>544</v>
      </c>
      <c r="C302" s="697">
        <v>20</v>
      </c>
      <c r="D302" s="944">
        <v>50572.68</v>
      </c>
      <c r="E302" s="945">
        <v>50572.68</v>
      </c>
      <c r="F302" s="486">
        <f t="shared" si="26"/>
        <v>0</v>
      </c>
    </row>
    <row r="303" spans="2:6" ht="15.75" hidden="1" thickBot="1" x14ac:dyDescent="0.3">
      <c r="B303" s="943" t="s">
        <v>545</v>
      </c>
      <c r="C303" s="697">
        <v>21</v>
      </c>
      <c r="D303" s="944">
        <v>61013.84</v>
      </c>
      <c r="E303" s="945">
        <v>61013.84</v>
      </c>
      <c r="F303" s="486">
        <f t="shared" si="26"/>
        <v>0</v>
      </c>
    </row>
    <row r="304" spans="2:6" ht="15.75" hidden="1" thickBot="1" x14ac:dyDescent="0.3">
      <c r="B304" s="943" t="s">
        <v>546</v>
      </c>
      <c r="C304" s="698">
        <v>22</v>
      </c>
      <c r="D304" s="944">
        <v>61013.84</v>
      </c>
      <c r="E304" s="945">
        <v>61013.84</v>
      </c>
      <c r="F304" s="486">
        <f t="shared" si="26"/>
        <v>0</v>
      </c>
    </row>
    <row r="305" spans="2:6" ht="15.75" hidden="1" thickBot="1" x14ac:dyDescent="0.3">
      <c r="B305" s="943" t="s">
        <v>545</v>
      </c>
      <c r="C305" s="697">
        <v>23</v>
      </c>
      <c r="D305" s="944">
        <v>61013.84</v>
      </c>
      <c r="E305" s="945">
        <v>61013.84</v>
      </c>
      <c r="F305" s="486">
        <f t="shared" si="26"/>
        <v>0</v>
      </c>
    </row>
    <row r="306" spans="2:6" ht="15.75" hidden="1" thickBot="1" x14ac:dyDescent="0.3">
      <c r="B306" s="943" t="s">
        <v>547</v>
      </c>
      <c r="C306" s="697">
        <v>24</v>
      </c>
      <c r="D306" s="944">
        <v>83848.799999999988</v>
      </c>
      <c r="E306" s="945">
        <v>83848.799999999988</v>
      </c>
      <c r="F306" s="486">
        <f t="shared" si="26"/>
        <v>0</v>
      </c>
    </row>
    <row r="307" spans="2:6" ht="15.75" hidden="1" thickBot="1" x14ac:dyDescent="0.3">
      <c r="B307" s="943" t="s">
        <v>548</v>
      </c>
      <c r="C307" s="698">
        <v>25</v>
      </c>
      <c r="D307" s="944">
        <v>83848.799999999988</v>
      </c>
      <c r="E307" s="945">
        <v>83848.799999999988</v>
      </c>
      <c r="F307" s="486">
        <f t="shared" si="26"/>
        <v>0</v>
      </c>
    </row>
    <row r="308" spans="2:6" ht="15.75" hidden="1" thickBot="1" x14ac:dyDescent="0.3">
      <c r="B308" s="943" t="s">
        <v>547</v>
      </c>
      <c r="C308" s="697">
        <v>26</v>
      </c>
      <c r="D308" s="944">
        <v>83848.799999999988</v>
      </c>
      <c r="E308" s="945">
        <v>83848.799999999988</v>
      </c>
      <c r="F308" s="486">
        <f t="shared" si="26"/>
        <v>0</v>
      </c>
    </row>
    <row r="309" spans="2:6" ht="15.75" hidden="1" thickBot="1" x14ac:dyDescent="0.3">
      <c r="B309" s="943" t="s">
        <v>547</v>
      </c>
      <c r="C309" s="697">
        <v>27</v>
      </c>
      <c r="D309" s="944">
        <v>83848.799999999988</v>
      </c>
      <c r="E309" s="945">
        <v>83848.799999999988</v>
      </c>
      <c r="F309" s="486">
        <f t="shared" si="26"/>
        <v>0</v>
      </c>
    </row>
    <row r="310" spans="2:6" ht="15.75" hidden="1" thickBot="1" x14ac:dyDescent="0.3">
      <c r="B310" s="943" t="s">
        <v>547</v>
      </c>
      <c r="C310" s="698">
        <v>28</v>
      </c>
      <c r="D310" s="944">
        <v>80450.722800000003</v>
      </c>
      <c r="E310" s="945">
        <v>80450.722800000003</v>
      </c>
      <c r="F310" s="486">
        <f t="shared" si="26"/>
        <v>0</v>
      </c>
    </row>
    <row r="311" spans="2:6" ht="15.75" hidden="1" thickBot="1" x14ac:dyDescent="0.3">
      <c r="B311" s="943" t="s">
        <v>547</v>
      </c>
      <c r="C311" s="697">
        <v>29</v>
      </c>
      <c r="D311" s="944">
        <v>80450.722800000003</v>
      </c>
      <c r="E311" s="945">
        <v>80450.722800000003</v>
      </c>
      <c r="F311" s="486">
        <f t="shared" si="26"/>
        <v>0</v>
      </c>
    </row>
    <row r="312" spans="2:6" ht="15.75" hidden="1" thickBot="1" x14ac:dyDescent="0.3">
      <c r="B312" s="943" t="s">
        <v>547</v>
      </c>
      <c r="C312" s="697">
        <v>30</v>
      </c>
      <c r="D312" s="944">
        <v>81801.090000000011</v>
      </c>
      <c r="E312" s="945">
        <v>81801.090000000011</v>
      </c>
      <c r="F312" s="486">
        <f t="shared" si="26"/>
        <v>0</v>
      </c>
    </row>
    <row r="313" spans="2:6" ht="15.75" hidden="1" thickBot="1" x14ac:dyDescent="0.3">
      <c r="B313" s="943" t="s">
        <v>547</v>
      </c>
      <c r="C313" s="698">
        <v>31</v>
      </c>
      <c r="D313" s="944">
        <v>81801.090000000011</v>
      </c>
      <c r="E313" s="945">
        <v>81801.090000000011</v>
      </c>
      <c r="F313" s="486">
        <f t="shared" si="26"/>
        <v>0</v>
      </c>
    </row>
    <row r="314" spans="2:6" ht="15.75" hidden="1" thickBot="1" x14ac:dyDescent="0.3">
      <c r="B314" s="943" t="s">
        <v>547</v>
      </c>
      <c r="C314" s="697">
        <v>32</v>
      </c>
      <c r="D314" s="944">
        <v>81801.090000000011</v>
      </c>
      <c r="E314" s="945">
        <v>81801.090000000011</v>
      </c>
      <c r="F314" s="486">
        <f t="shared" si="26"/>
        <v>0</v>
      </c>
    </row>
    <row r="315" spans="2:6" ht="15.75" hidden="1" thickBot="1" x14ac:dyDescent="0.3">
      <c r="B315" s="943" t="s">
        <v>547</v>
      </c>
      <c r="C315" s="697">
        <v>33</v>
      </c>
      <c r="D315" s="944">
        <v>81801.090000000011</v>
      </c>
      <c r="E315" s="945">
        <v>81801.090000000011</v>
      </c>
      <c r="F315" s="486">
        <f t="shared" si="26"/>
        <v>0</v>
      </c>
    </row>
    <row r="316" spans="2:6" ht="15.75" hidden="1" thickBot="1" x14ac:dyDescent="0.3">
      <c r="B316" s="943" t="s">
        <v>549</v>
      </c>
      <c r="C316" s="698">
        <v>34</v>
      </c>
      <c r="D316" s="944">
        <v>119217.28</v>
      </c>
      <c r="E316" s="945">
        <v>119217.28</v>
      </c>
      <c r="F316" s="486">
        <f t="shared" si="26"/>
        <v>0</v>
      </c>
    </row>
    <row r="317" spans="2:6" ht="15.75" hidden="1" thickBot="1" x14ac:dyDescent="0.3">
      <c r="B317" s="943" t="s">
        <v>550</v>
      </c>
      <c r="C317" s="697">
        <v>35</v>
      </c>
      <c r="D317" s="944">
        <v>661300.93000000005</v>
      </c>
      <c r="E317" s="945">
        <v>661300.93000000005</v>
      </c>
      <c r="F317" s="486">
        <f t="shared" si="26"/>
        <v>0</v>
      </c>
    </row>
    <row r="318" spans="2:6" ht="15.75" hidden="1" thickBot="1" x14ac:dyDescent="0.3">
      <c r="B318" s="943" t="s">
        <v>550</v>
      </c>
      <c r="C318" s="697">
        <v>36</v>
      </c>
      <c r="D318" s="944">
        <v>112545.63</v>
      </c>
      <c r="E318" s="945">
        <v>112545.63</v>
      </c>
      <c r="F318" s="486">
        <f t="shared" si="26"/>
        <v>0</v>
      </c>
    </row>
    <row r="319" spans="2:6" ht="15.75" hidden="1" thickBot="1" x14ac:dyDescent="0.3">
      <c r="B319" s="943" t="s">
        <v>550</v>
      </c>
      <c r="C319" s="698">
        <v>37</v>
      </c>
      <c r="D319" s="944">
        <v>112545.63</v>
      </c>
      <c r="E319" s="945">
        <v>112545.63</v>
      </c>
      <c r="F319" s="486">
        <f t="shared" si="26"/>
        <v>0</v>
      </c>
    </row>
    <row r="320" spans="2:6" ht="15.75" hidden="1" thickBot="1" x14ac:dyDescent="0.3">
      <c r="B320" s="943" t="s">
        <v>550</v>
      </c>
      <c r="C320" s="697">
        <v>38</v>
      </c>
      <c r="D320" s="944">
        <v>112545.63</v>
      </c>
      <c r="E320" s="945">
        <v>112545.63</v>
      </c>
      <c r="F320" s="486">
        <f t="shared" si="26"/>
        <v>0</v>
      </c>
    </row>
    <row r="321" spans="2:7" ht="15.75" hidden="1" thickBot="1" x14ac:dyDescent="0.3">
      <c r="B321" s="943" t="s">
        <v>550</v>
      </c>
      <c r="C321" s="697">
        <v>39</v>
      </c>
      <c r="D321" s="944">
        <v>112545.63</v>
      </c>
      <c r="E321" s="945">
        <v>112545.63</v>
      </c>
      <c r="F321" s="486">
        <f t="shared" si="26"/>
        <v>0</v>
      </c>
    </row>
    <row r="322" spans="2:7" ht="15.75" hidden="1" thickBot="1" x14ac:dyDescent="0.3">
      <c r="B322" s="943" t="s">
        <v>550</v>
      </c>
      <c r="C322" s="698">
        <v>40</v>
      </c>
      <c r="D322" s="944">
        <v>112545.63</v>
      </c>
      <c r="E322" s="945">
        <v>112545.63</v>
      </c>
      <c r="F322" s="486">
        <f t="shared" si="26"/>
        <v>0</v>
      </c>
    </row>
    <row r="323" spans="2:7" ht="15.75" hidden="1" thickBot="1" x14ac:dyDescent="0.3">
      <c r="B323" s="943" t="s">
        <v>551</v>
      </c>
      <c r="C323" s="697">
        <v>41</v>
      </c>
      <c r="D323" s="944">
        <v>112545.63</v>
      </c>
      <c r="E323" s="945">
        <v>112545.63</v>
      </c>
      <c r="F323" s="486">
        <f t="shared" si="26"/>
        <v>0</v>
      </c>
    </row>
    <row r="324" spans="2:7" ht="15.75" hidden="1" thickBot="1" x14ac:dyDescent="0.3">
      <c r="B324" s="943" t="s">
        <v>552</v>
      </c>
      <c r="C324" s="697">
        <v>42</v>
      </c>
      <c r="D324" s="944">
        <v>120718.94</v>
      </c>
      <c r="E324" s="945">
        <v>120718.94</v>
      </c>
      <c r="F324" s="486">
        <f t="shared" si="26"/>
        <v>0</v>
      </c>
    </row>
    <row r="325" spans="2:7" ht="15.75" hidden="1" thickBot="1" x14ac:dyDescent="0.3">
      <c r="B325" s="943" t="s">
        <v>552</v>
      </c>
      <c r="C325" s="698">
        <v>43</v>
      </c>
      <c r="D325" s="944">
        <v>120718.94</v>
      </c>
      <c r="E325" s="945">
        <v>120718.94</v>
      </c>
      <c r="F325" s="486">
        <f t="shared" si="26"/>
        <v>0</v>
      </c>
    </row>
    <row r="326" spans="2:7" ht="15.75" hidden="1" thickBot="1" x14ac:dyDescent="0.3">
      <c r="B326" s="943" t="s">
        <v>553</v>
      </c>
      <c r="C326" s="697">
        <v>44</v>
      </c>
      <c r="D326" s="944">
        <v>142037</v>
      </c>
      <c r="E326" s="945">
        <v>142037</v>
      </c>
      <c r="F326" s="486">
        <f t="shared" si="26"/>
        <v>0</v>
      </c>
    </row>
    <row r="327" spans="2:7" ht="15.75" hidden="1" thickBot="1" x14ac:dyDescent="0.3">
      <c r="B327" s="943" t="s">
        <v>554</v>
      </c>
      <c r="C327" s="697">
        <v>45</v>
      </c>
      <c r="D327" s="944">
        <v>129915</v>
      </c>
      <c r="E327" s="945">
        <v>129915</v>
      </c>
      <c r="F327" s="486">
        <f t="shared" si="26"/>
        <v>0</v>
      </c>
    </row>
    <row r="328" spans="2:7" ht="15.75" hidden="1" thickBot="1" x14ac:dyDescent="0.3">
      <c r="B328" s="943" t="s">
        <v>554</v>
      </c>
      <c r="C328" s="698">
        <v>46</v>
      </c>
      <c r="D328" s="944">
        <v>129915</v>
      </c>
      <c r="E328" s="945">
        <v>129915</v>
      </c>
      <c r="F328" s="486">
        <f t="shared" si="26"/>
        <v>0</v>
      </c>
    </row>
    <row r="329" spans="2:7" ht="15.75" hidden="1" thickBot="1" x14ac:dyDescent="0.3">
      <c r="B329" s="943" t="s">
        <v>554</v>
      </c>
      <c r="C329" s="697">
        <v>47</v>
      </c>
      <c r="D329" s="944">
        <v>129915</v>
      </c>
      <c r="E329" s="945">
        <v>129915</v>
      </c>
      <c r="F329" s="486">
        <f t="shared" si="26"/>
        <v>0</v>
      </c>
    </row>
    <row r="330" spans="2:7" ht="15.75" hidden="1" thickBot="1" x14ac:dyDescent="0.3">
      <c r="B330" s="943" t="s">
        <v>555</v>
      </c>
      <c r="C330" s="697">
        <v>48</v>
      </c>
      <c r="D330" s="944">
        <v>122637.4656</v>
      </c>
      <c r="E330" s="945">
        <v>122637.4656</v>
      </c>
      <c r="F330" s="486">
        <f t="shared" si="26"/>
        <v>0</v>
      </c>
      <c r="G330" s="616">
        <v>1</v>
      </c>
    </row>
    <row r="331" spans="2:7" ht="15.75" hidden="1" thickBot="1" x14ac:dyDescent="0.3">
      <c r="B331" s="943" t="s">
        <v>555</v>
      </c>
      <c r="C331" s="698">
        <v>49</v>
      </c>
      <c r="D331" s="944">
        <v>122637.4656</v>
      </c>
      <c r="E331" s="945">
        <v>122637.4656</v>
      </c>
      <c r="F331" s="486">
        <f t="shared" si="26"/>
        <v>0</v>
      </c>
    </row>
    <row r="332" spans="2:7" ht="15.75" hidden="1" thickBot="1" x14ac:dyDescent="0.3">
      <c r="B332" s="500" t="s">
        <v>556</v>
      </c>
      <c r="C332" s="703">
        <v>50</v>
      </c>
      <c r="D332" s="495">
        <v>97051.483200000002</v>
      </c>
      <c r="E332" s="488">
        <v>97051.483200000002</v>
      </c>
      <c r="F332" s="486">
        <f t="shared" si="26"/>
        <v>0</v>
      </c>
    </row>
    <row r="333" spans="2:7" ht="15.75" thickBot="1" x14ac:dyDescent="0.3">
      <c r="B333" s="704" t="s">
        <v>330</v>
      </c>
      <c r="C333" s="705">
        <v>50</v>
      </c>
      <c r="D333" s="947">
        <f>SUM(D283:D332)</f>
        <v>5250143.5999999987</v>
      </c>
      <c r="E333" s="706">
        <f t="shared" ref="E333:F333" si="27">SUM(E283:E332)</f>
        <v>5250143.5999999987</v>
      </c>
      <c r="F333" s="707">
        <f t="shared" si="27"/>
        <v>0</v>
      </c>
    </row>
    <row r="334" spans="2:7" ht="15.75" hidden="1" thickBot="1" x14ac:dyDescent="0.3">
      <c r="B334" s="499" t="s">
        <v>557</v>
      </c>
      <c r="C334" s="698">
        <v>1</v>
      </c>
      <c r="D334" s="497">
        <v>50958.78</v>
      </c>
      <c r="E334" s="487">
        <v>50958.78</v>
      </c>
      <c r="F334" s="486">
        <f>+D334-E334</f>
        <v>0</v>
      </c>
    </row>
    <row r="335" spans="2:7" ht="15.75" hidden="1" thickBot="1" x14ac:dyDescent="0.3">
      <c r="B335" s="943" t="s">
        <v>558</v>
      </c>
      <c r="C335" s="697">
        <v>2</v>
      </c>
      <c r="D335" s="944">
        <v>52480</v>
      </c>
      <c r="E335" s="945">
        <v>52480</v>
      </c>
      <c r="F335" s="486">
        <f t="shared" ref="F335:F337" si="28">+D335-E335</f>
        <v>0</v>
      </c>
      <c r="G335" s="616">
        <v>1</v>
      </c>
    </row>
    <row r="336" spans="2:7" ht="15.75" hidden="1" thickBot="1" x14ac:dyDescent="0.3">
      <c r="B336" s="943" t="s">
        <v>559</v>
      </c>
      <c r="C336" s="697">
        <v>3</v>
      </c>
      <c r="D336" s="944">
        <v>100935</v>
      </c>
      <c r="E336" s="945">
        <v>100935</v>
      </c>
      <c r="F336" s="486">
        <f t="shared" si="28"/>
        <v>0</v>
      </c>
    </row>
    <row r="337" spans="2:7" ht="15.75" hidden="1" thickBot="1" x14ac:dyDescent="0.3">
      <c r="B337" s="500" t="s">
        <v>560</v>
      </c>
      <c r="C337" s="703">
        <v>4</v>
      </c>
      <c r="D337" s="495">
        <v>545081.96799999988</v>
      </c>
      <c r="E337" s="488">
        <v>545081.96799999988</v>
      </c>
      <c r="F337" s="486">
        <f t="shared" si="28"/>
        <v>0</v>
      </c>
    </row>
    <row r="338" spans="2:7" ht="15.75" thickBot="1" x14ac:dyDescent="0.3">
      <c r="B338" s="704" t="s">
        <v>316</v>
      </c>
      <c r="C338" s="705">
        <v>4</v>
      </c>
      <c r="D338" s="947">
        <f>SUM(D334:D337)</f>
        <v>749455.74799999991</v>
      </c>
      <c r="E338" s="706">
        <f t="shared" ref="E338:F338" si="29">SUM(E334:E337)</f>
        <v>749455.74799999991</v>
      </c>
      <c r="F338" s="707">
        <f t="shared" si="29"/>
        <v>0</v>
      </c>
    </row>
    <row r="339" spans="2:7" ht="15.75" hidden="1" thickBot="1" x14ac:dyDescent="0.3">
      <c r="B339" s="499" t="s">
        <v>561</v>
      </c>
      <c r="C339" s="698">
        <v>1</v>
      </c>
      <c r="D339" s="497">
        <v>156124.97</v>
      </c>
      <c r="E339" s="487">
        <v>156124.97</v>
      </c>
      <c r="F339" s="486">
        <f>+D339-E339</f>
        <v>0</v>
      </c>
    </row>
    <row r="340" spans="2:7" ht="15.75" hidden="1" thickBot="1" x14ac:dyDescent="0.3">
      <c r="B340" s="943" t="s">
        <v>562</v>
      </c>
      <c r="C340" s="697">
        <v>2</v>
      </c>
      <c r="D340" s="944">
        <v>50703.18</v>
      </c>
      <c r="E340" s="945">
        <v>50703.18</v>
      </c>
      <c r="F340" s="486">
        <f t="shared" ref="F340:F349" si="30">+D340-E340</f>
        <v>0</v>
      </c>
    </row>
    <row r="341" spans="2:7" ht="15.75" hidden="1" thickBot="1" x14ac:dyDescent="0.3">
      <c r="B341" s="943" t="s">
        <v>563</v>
      </c>
      <c r="C341" s="697">
        <v>3</v>
      </c>
      <c r="D341" s="944">
        <v>114994.36</v>
      </c>
      <c r="E341" s="945">
        <v>114994.36</v>
      </c>
      <c r="F341" s="486">
        <f t="shared" si="30"/>
        <v>0</v>
      </c>
    </row>
    <row r="342" spans="2:7" ht="15.75" hidden="1" thickBot="1" x14ac:dyDescent="0.3">
      <c r="B342" s="943" t="s">
        <v>564</v>
      </c>
      <c r="C342" s="698">
        <v>4</v>
      </c>
      <c r="D342" s="944">
        <v>69322.259999999995</v>
      </c>
      <c r="E342" s="945">
        <v>69322.259999999995</v>
      </c>
      <c r="F342" s="486">
        <f t="shared" si="30"/>
        <v>0</v>
      </c>
    </row>
    <row r="343" spans="2:7" ht="15.75" hidden="1" thickBot="1" x14ac:dyDescent="0.3">
      <c r="B343" s="943" t="s">
        <v>565</v>
      </c>
      <c r="C343" s="697">
        <v>5</v>
      </c>
      <c r="D343" s="944">
        <v>97500</v>
      </c>
      <c r="E343" s="945">
        <v>97500</v>
      </c>
      <c r="F343" s="486">
        <f t="shared" si="30"/>
        <v>0</v>
      </c>
    </row>
    <row r="344" spans="2:7" ht="15.75" hidden="1" thickBot="1" x14ac:dyDescent="0.3">
      <c r="B344" s="943" t="s">
        <v>566</v>
      </c>
      <c r="C344" s="697">
        <v>6</v>
      </c>
      <c r="D344" s="944">
        <v>506721.96</v>
      </c>
      <c r="E344" s="945">
        <v>506721.96</v>
      </c>
      <c r="F344" s="486">
        <f t="shared" si="30"/>
        <v>0</v>
      </c>
    </row>
    <row r="345" spans="2:7" ht="15.75" hidden="1" thickBot="1" x14ac:dyDescent="0.3">
      <c r="B345" s="943" t="s">
        <v>567</v>
      </c>
      <c r="C345" s="698">
        <v>7</v>
      </c>
      <c r="D345" s="944">
        <v>98485</v>
      </c>
      <c r="E345" s="945">
        <v>98485</v>
      </c>
      <c r="F345" s="486">
        <f t="shared" si="30"/>
        <v>0</v>
      </c>
    </row>
    <row r="346" spans="2:7" ht="15.75" hidden="1" thickBot="1" x14ac:dyDescent="0.3">
      <c r="B346" s="943" t="s">
        <v>568</v>
      </c>
      <c r="C346" s="697">
        <v>8</v>
      </c>
      <c r="D346" s="944">
        <v>138833.51999999999</v>
      </c>
      <c r="E346" s="945">
        <v>138833.51999999999</v>
      </c>
      <c r="F346" s="486">
        <f t="shared" si="30"/>
        <v>0</v>
      </c>
      <c r="G346" s="616">
        <v>1</v>
      </c>
    </row>
    <row r="347" spans="2:7" ht="15.75" hidden="1" thickBot="1" x14ac:dyDescent="0.3">
      <c r="B347" s="943" t="s">
        <v>569</v>
      </c>
      <c r="C347" s="697">
        <v>9</v>
      </c>
      <c r="D347" s="944">
        <v>133222.88</v>
      </c>
      <c r="E347" s="945">
        <v>133222.88</v>
      </c>
      <c r="F347" s="486">
        <f t="shared" si="30"/>
        <v>0</v>
      </c>
    </row>
    <row r="348" spans="2:7" ht="27" hidden="1" thickBot="1" x14ac:dyDescent="0.3">
      <c r="B348" s="500" t="s">
        <v>570</v>
      </c>
      <c r="C348" s="955">
        <v>10</v>
      </c>
      <c r="D348" s="495">
        <v>74853</v>
      </c>
      <c r="E348" s="488">
        <v>74853</v>
      </c>
      <c r="F348" s="486">
        <f t="shared" si="30"/>
        <v>0</v>
      </c>
    </row>
    <row r="349" spans="2:7" ht="15.75" hidden="1" thickBot="1" x14ac:dyDescent="0.3">
      <c r="B349" s="954" t="s">
        <v>698</v>
      </c>
      <c r="C349" s="698">
        <v>11</v>
      </c>
      <c r="D349" s="488">
        <v>346475.21</v>
      </c>
      <c r="E349" s="488">
        <v>346475.21</v>
      </c>
      <c r="F349" s="486">
        <f t="shared" si="30"/>
        <v>0</v>
      </c>
    </row>
    <row r="350" spans="2:7" ht="15" x14ac:dyDescent="0.25">
      <c r="B350" s="961" t="s">
        <v>317</v>
      </c>
      <c r="C350" s="962">
        <v>11</v>
      </c>
      <c r="D350" s="963">
        <f>SUM(D339:D348)</f>
        <v>1440761.13</v>
      </c>
      <c r="E350" s="964">
        <f>SUM(E339:E348)</f>
        <v>1440761.13</v>
      </c>
      <c r="F350" s="711">
        <f>SUM(F339:F348)</f>
        <v>0</v>
      </c>
    </row>
    <row r="351" spans="2:7" ht="15" hidden="1" x14ac:dyDescent="0.25">
      <c r="B351" s="965" t="s">
        <v>571</v>
      </c>
      <c r="C351" s="966">
        <v>1</v>
      </c>
      <c r="D351" s="945">
        <v>203400.32000000001</v>
      </c>
      <c r="E351" s="945">
        <v>203400.32000000001</v>
      </c>
      <c r="F351" s="945">
        <f>+D351-E351</f>
        <v>0</v>
      </c>
    </row>
    <row r="352" spans="2:7" ht="15" hidden="1" x14ac:dyDescent="0.25">
      <c r="B352" s="967" t="s">
        <v>699</v>
      </c>
      <c r="C352" s="966">
        <v>2</v>
      </c>
      <c r="D352" s="945">
        <v>560625</v>
      </c>
      <c r="E352" s="945">
        <v>560625</v>
      </c>
      <c r="F352" s="945">
        <f>+D352-E352</f>
        <v>0</v>
      </c>
      <c r="G352" s="616">
        <v>1</v>
      </c>
    </row>
    <row r="353" spans="2:7" ht="15.75" thickBot="1" x14ac:dyDescent="0.3">
      <c r="B353" s="948" t="s">
        <v>318</v>
      </c>
      <c r="C353" s="949">
        <v>2</v>
      </c>
      <c r="D353" s="959">
        <f>SUM(D351)</f>
        <v>203400.32000000001</v>
      </c>
      <c r="E353" s="968">
        <f t="shared" ref="E353:F353" si="31">SUM(E351)</f>
        <v>203400.32000000001</v>
      </c>
      <c r="F353" s="960">
        <f t="shared" si="31"/>
        <v>0</v>
      </c>
    </row>
    <row r="354" spans="2:7" ht="15.75" hidden="1" thickBot="1" x14ac:dyDescent="0.3">
      <c r="B354" s="496" t="s">
        <v>572</v>
      </c>
      <c r="C354" s="698">
        <v>1</v>
      </c>
      <c r="D354" s="497">
        <v>82200</v>
      </c>
      <c r="E354" s="487">
        <v>82200</v>
      </c>
      <c r="F354" s="486">
        <f>+D354-E354</f>
        <v>0</v>
      </c>
    </row>
    <row r="355" spans="2:7" ht="15.75" hidden="1" thickBot="1" x14ac:dyDescent="0.3">
      <c r="B355" s="946" t="s">
        <v>573</v>
      </c>
      <c r="C355" s="697">
        <v>2</v>
      </c>
      <c r="D355" s="944">
        <v>91860</v>
      </c>
      <c r="E355" s="945">
        <v>91860</v>
      </c>
      <c r="F355" s="486">
        <f t="shared" ref="F355:F356" si="32">+D355-E355</f>
        <v>0</v>
      </c>
    </row>
    <row r="356" spans="2:7" ht="15.75" hidden="1" thickBot="1" x14ac:dyDescent="0.3">
      <c r="B356" s="500" t="s">
        <v>574</v>
      </c>
      <c r="C356" s="703">
        <v>3</v>
      </c>
      <c r="D356" s="495">
        <v>69000</v>
      </c>
      <c r="E356" s="489">
        <v>69000</v>
      </c>
      <c r="F356" s="486">
        <f t="shared" si="32"/>
        <v>0</v>
      </c>
    </row>
    <row r="357" spans="2:7" ht="15.75" thickBot="1" x14ac:dyDescent="0.3">
      <c r="B357" s="704" t="s">
        <v>319</v>
      </c>
      <c r="C357" s="705">
        <v>3</v>
      </c>
      <c r="D357" s="947">
        <f>SUM(D354:D356)</f>
        <v>243060</v>
      </c>
      <c r="E357" s="706">
        <f t="shared" ref="E357:F357" si="33">SUM(E354:E356)</f>
        <v>243060</v>
      </c>
      <c r="F357" s="707">
        <f t="shared" si="33"/>
        <v>0</v>
      </c>
      <c r="G357" s="616">
        <v>1</v>
      </c>
    </row>
    <row r="358" spans="2:7" ht="17.25" hidden="1" thickBot="1" x14ac:dyDescent="0.35">
      <c r="B358" s="715" t="s">
        <v>575</v>
      </c>
      <c r="C358" s="716">
        <v>1</v>
      </c>
      <c r="D358" s="492">
        <v>98400</v>
      </c>
      <c r="E358" s="484">
        <v>98400</v>
      </c>
      <c r="F358" s="485">
        <f>+D358-E358</f>
        <v>0</v>
      </c>
    </row>
    <row r="359" spans="2:7" ht="17.25" hidden="1" thickBot="1" x14ac:dyDescent="0.35">
      <c r="B359" s="969" t="s">
        <v>575</v>
      </c>
      <c r="C359" s="955">
        <v>2</v>
      </c>
      <c r="D359" s="944">
        <v>98400</v>
      </c>
      <c r="E359" s="945">
        <v>98400</v>
      </c>
      <c r="F359" s="485">
        <f t="shared" ref="F359:F361" si="34">+D359-E359</f>
        <v>0</v>
      </c>
    </row>
    <row r="360" spans="2:7" ht="15.75" hidden="1" thickBot="1" x14ac:dyDescent="0.3">
      <c r="B360" s="946" t="s">
        <v>576</v>
      </c>
      <c r="C360" s="955">
        <v>3</v>
      </c>
      <c r="D360" s="944">
        <v>96237</v>
      </c>
      <c r="E360" s="945">
        <v>96237</v>
      </c>
      <c r="F360" s="485">
        <f t="shared" si="34"/>
        <v>0</v>
      </c>
    </row>
    <row r="361" spans="2:7" ht="15.75" hidden="1" thickBot="1" x14ac:dyDescent="0.3">
      <c r="B361" s="498" t="s">
        <v>577</v>
      </c>
      <c r="C361" s="717">
        <v>4</v>
      </c>
      <c r="D361" s="501">
        <v>149025.5</v>
      </c>
      <c r="E361" s="970">
        <v>149025.5</v>
      </c>
      <c r="F361" s="485">
        <f t="shared" si="34"/>
        <v>0</v>
      </c>
    </row>
    <row r="362" spans="2:7" ht="15.75" thickBot="1" x14ac:dyDescent="0.3">
      <c r="B362" s="710" t="s">
        <v>320</v>
      </c>
      <c r="C362" s="705">
        <v>4</v>
      </c>
      <c r="D362" s="947">
        <f>SUM(D358:D361)</f>
        <v>442062.5</v>
      </c>
      <c r="E362" s="706">
        <f t="shared" ref="E362:F362" si="35">SUM(E358:E361)</f>
        <v>442062.5</v>
      </c>
      <c r="F362" s="707">
        <f t="shared" si="35"/>
        <v>0</v>
      </c>
    </row>
    <row r="363" spans="2:7" ht="15.75" thickBot="1" x14ac:dyDescent="0.3">
      <c r="B363" s="971" t="s">
        <v>10</v>
      </c>
      <c r="C363" s="972">
        <f>C17+C19+C24+C26+C37+C41+C47+C71+C76+C140+C160+C179+C185+C188+C256+C282+C333+C338+C350+C353+C357+C362</f>
        <v>337</v>
      </c>
      <c r="D363" s="973">
        <f>D17+D19+D24+D26+D37+D41+D47+D71+D76+D140+D160+D179+D185+D188+D256+D282+D333+D338+D350+D353+D357+D362</f>
        <v>1046609965.1651999</v>
      </c>
      <c r="E363" s="974">
        <f>E17+E19+E24+E26+E37+E41+E47+E71+E76+E140+E160+E179+E185+E188+E256+E282+E333+E338+E350+E353+E357+E362</f>
        <v>1046609965.1651999</v>
      </c>
      <c r="F363" s="975">
        <f>F17+F19+F24+F26+F37+F41+F47+F71+F76+F140+F160+F179+F185+F188+F256+F282+F333+F338+F350+F353+F357+F362</f>
        <v>0</v>
      </c>
    </row>
    <row r="364" spans="2:7" hidden="1" x14ac:dyDescent="0.3">
      <c r="E364" s="720">
        <f>+D363-E363</f>
        <v>0</v>
      </c>
    </row>
    <row r="365" spans="2:7" hidden="1" x14ac:dyDescent="0.3">
      <c r="D365" s="720" t="s">
        <v>20</v>
      </c>
    </row>
    <row r="366" spans="2:7" x14ac:dyDescent="0.3">
      <c r="B366" s="976" t="s">
        <v>625</v>
      </c>
      <c r="C366" s="977"/>
      <c r="D366" s="978">
        <f>SUBTOTAL(9,D17:D362)</f>
        <v>1046609965.1651999</v>
      </c>
      <c r="E366" s="978">
        <f>SUBTOTAL(9,E17:E362)</f>
        <v>1046609965.1651999</v>
      </c>
    </row>
  </sheetData>
  <autoFilter ref="B1:G365">
    <filterColumn colId="0">
      <filters>
        <filter val="Total Archivadores y Estantes"/>
        <filter val="Total Bombas"/>
        <filter val="Total Computadoras"/>
        <filter val="Total Equipo de Medición"/>
        <filter val="Total Equipo de ventilación"/>
        <filter val="Total Equipo Doméstico"/>
        <filter val="Total Equipo Fotográfico"/>
        <filter val="Total Equipo Hidraulico"/>
        <filter val="Total Equipo Hidráulico"/>
        <filter val="Total Equipo Telefónica"/>
        <filter val="Total Equpo Audio y Video"/>
        <filter val="Total Escritorios y Mesas"/>
        <filter val="Total Impresoras"/>
        <filter val="Total Maquinaria Construcción"/>
        <filter val="Total Mobiliario y equipo de Oficina"/>
        <filter val="Total Monitores"/>
        <filter val="Total Motocicletas"/>
        <filter val="Total Otra Maquinaria y Equipo Producción"/>
        <filter val="Total Otros Equipos de Computación"/>
        <filter val="Total Otros Equipos de Seguridad"/>
        <filter val="Total Sillas y Butacas"/>
        <filter val="Total UPS"/>
        <filter val="Total Vehículos"/>
        <filter val="TOTALES"/>
      </filters>
    </filterColumn>
  </autoFilter>
  <conditionalFormatting sqref="A1">
    <cfRule type="duplicateValues" dxfId="2" priority="3"/>
  </conditionalFormatting>
  <conditionalFormatting sqref="B1:C1">
    <cfRule type="duplicateValues" dxfId="1" priority="1"/>
  </conditionalFormatting>
  <conditionalFormatting sqref="D1:F1"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workbookViewId="0">
      <selection activeCell="K34" sqref="K34"/>
    </sheetView>
  </sheetViews>
  <sheetFormatPr baseColWidth="10" defaultColWidth="9.140625" defaultRowHeight="15" x14ac:dyDescent="0.25"/>
  <cols>
    <col min="1" max="1" width="34.85546875" customWidth="1"/>
    <col min="2" max="2" width="10.7109375" customWidth="1"/>
    <col min="3" max="3" width="11.42578125" customWidth="1"/>
    <col min="4" max="4" width="8" customWidth="1"/>
    <col min="5" max="5" width="12.5703125" customWidth="1"/>
    <col min="6" max="6" width="14.42578125" customWidth="1"/>
    <col min="7" max="7" width="8.5703125" customWidth="1"/>
    <col min="8" max="8" width="11.5703125" customWidth="1"/>
    <col min="9" max="9" width="13.42578125" customWidth="1"/>
    <col min="10" max="10" width="7.42578125" customWidth="1"/>
    <col min="11" max="11" width="9.85546875" customWidth="1"/>
    <col min="12" max="12" width="12.28515625" customWidth="1"/>
    <col min="13" max="13" width="7.140625" bestFit="1" customWidth="1"/>
  </cols>
  <sheetData>
    <row r="1" spans="1:17" ht="15.75" thickBot="1" x14ac:dyDescent="0.3"/>
    <row r="2" spans="1:17" ht="40.5" customHeight="1" thickBot="1" x14ac:dyDescent="0.3">
      <c r="A2" s="69" t="s">
        <v>136</v>
      </c>
      <c r="B2" s="70" t="s">
        <v>171</v>
      </c>
      <c r="C2" s="70" t="s">
        <v>172</v>
      </c>
      <c r="D2" s="70" t="s">
        <v>137</v>
      </c>
      <c r="E2" s="70" t="s">
        <v>139</v>
      </c>
      <c r="F2" s="70" t="s">
        <v>138</v>
      </c>
      <c r="G2" s="70" t="s">
        <v>137</v>
      </c>
      <c r="H2" s="70" t="s">
        <v>141</v>
      </c>
      <c r="I2" s="70" t="s">
        <v>140</v>
      </c>
      <c r="J2" s="70" t="s">
        <v>137</v>
      </c>
      <c r="K2" s="70" t="s">
        <v>142</v>
      </c>
      <c r="L2" s="70" t="s">
        <v>143</v>
      </c>
      <c r="M2" s="70" t="s">
        <v>137</v>
      </c>
    </row>
    <row r="3" spans="1:17" x14ac:dyDescent="0.25">
      <c r="A3" s="375" t="s">
        <v>181</v>
      </c>
      <c r="B3" s="376">
        <v>756</v>
      </c>
      <c r="C3" s="376">
        <v>756</v>
      </c>
      <c r="D3" s="367">
        <v>0</v>
      </c>
      <c r="E3" s="377">
        <v>22435224.766720001</v>
      </c>
      <c r="F3" s="377">
        <v>22435224.766720001</v>
      </c>
      <c r="G3" s="378">
        <v>0</v>
      </c>
      <c r="H3" s="377">
        <v>0</v>
      </c>
      <c r="I3" s="377">
        <v>0</v>
      </c>
      <c r="J3" s="378">
        <v>0</v>
      </c>
      <c r="K3" s="377">
        <v>22435224.766720001</v>
      </c>
      <c r="L3" s="377">
        <v>22435224.766720001</v>
      </c>
      <c r="M3" s="378">
        <v>0</v>
      </c>
    </row>
    <row r="4" spans="1:17" ht="27" x14ac:dyDescent="0.25">
      <c r="A4" s="332" t="s">
        <v>180</v>
      </c>
      <c r="B4" s="379">
        <v>1943.65</v>
      </c>
      <c r="C4" s="379">
        <v>1943.65</v>
      </c>
      <c r="D4" s="380">
        <v>0</v>
      </c>
      <c r="E4" s="334">
        <v>120894567.94577999</v>
      </c>
      <c r="F4" s="334">
        <v>120894567.94577999</v>
      </c>
      <c r="G4" s="381">
        <v>0</v>
      </c>
      <c r="H4" s="334">
        <v>0</v>
      </c>
      <c r="I4" s="334">
        <v>0</v>
      </c>
      <c r="J4" s="381">
        <v>0</v>
      </c>
      <c r="K4" s="334">
        <v>120894567.94577999</v>
      </c>
      <c r="L4" s="334">
        <v>120894567.94577999</v>
      </c>
      <c r="M4" s="381">
        <v>0</v>
      </c>
    </row>
    <row r="5" spans="1:17" x14ac:dyDescent="0.25">
      <c r="A5" s="332" t="s">
        <v>173</v>
      </c>
      <c r="B5" s="379">
        <v>99</v>
      </c>
      <c r="C5" s="379">
        <v>99</v>
      </c>
      <c r="D5" s="380">
        <v>0</v>
      </c>
      <c r="E5" s="334">
        <v>13385469.370680001</v>
      </c>
      <c r="F5" s="334">
        <v>13385469.370680001</v>
      </c>
      <c r="G5" s="381">
        <v>0</v>
      </c>
      <c r="H5" s="334">
        <v>0</v>
      </c>
      <c r="I5" s="334">
        <v>0</v>
      </c>
      <c r="J5" s="381">
        <v>0</v>
      </c>
      <c r="K5" s="334">
        <v>13385469.370680001</v>
      </c>
      <c r="L5" s="334">
        <v>13385469.370680001</v>
      </c>
      <c r="M5" s="561">
        <v>0</v>
      </c>
      <c r="Q5" t="s">
        <v>684</v>
      </c>
    </row>
    <row r="6" spans="1:17" x14ac:dyDescent="0.25">
      <c r="A6" s="332" t="s">
        <v>174</v>
      </c>
      <c r="B6" s="382" t="s">
        <v>134</v>
      </c>
      <c r="C6" s="382" t="s">
        <v>134</v>
      </c>
      <c r="D6" s="380" t="s">
        <v>134</v>
      </c>
      <c r="E6" s="334">
        <v>16665.424360000001</v>
      </c>
      <c r="F6" s="334">
        <v>16665.424360000001</v>
      </c>
      <c r="G6" s="381">
        <v>0</v>
      </c>
      <c r="H6" s="334">
        <v>0</v>
      </c>
      <c r="I6" s="334">
        <v>0</v>
      </c>
      <c r="J6" s="381">
        <v>0</v>
      </c>
      <c r="K6" s="334">
        <v>16665.424360000001</v>
      </c>
      <c r="L6" s="334">
        <v>16665.424360000001</v>
      </c>
      <c r="M6" s="561" t="s">
        <v>134</v>
      </c>
    </row>
    <row r="7" spans="1:17" ht="27" x14ac:dyDescent="0.25">
      <c r="A7" s="332" t="s">
        <v>176</v>
      </c>
      <c r="B7" s="379">
        <v>18112.72</v>
      </c>
      <c r="C7" s="379">
        <v>18112.72</v>
      </c>
      <c r="D7" s="380">
        <v>0</v>
      </c>
      <c r="E7" s="334">
        <v>4013723.6642199997</v>
      </c>
      <c r="F7" s="334">
        <v>4013723.6642199997</v>
      </c>
      <c r="G7" s="381">
        <v>0</v>
      </c>
      <c r="H7" s="334">
        <v>0</v>
      </c>
      <c r="I7" s="334">
        <v>0</v>
      </c>
      <c r="J7" s="381">
        <v>0</v>
      </c>
      <c r="K7" s="334">
        <v>4013723.6642199997</v>
      </c>
      <c r="L7" s="334">
        <v>4013723.6642199997</v>
      </c>
      <c r="M7" s="381">
        <v>0</v>
      </c>
    </row>
    <row r="8" spans="1:17" ht="27.75" thickBot="1" x14ac:dyDescent="0.3">
      <c r="A8" s="383" t="s">
        <v>175</v>
      </c>
      <c r="B8" s="384" t="s">
        <v>134</v>
      </c>
      <c r="C8" s="384" t="s">
        <v>134</v>
      </c>
      <c r="D8" s="368" t="s">
        <v>134</v>
      </c>
      <c r="E8" s="385">
        <v>19846.91</v>
      </c>
      <c r="F8" s="385">
        <v>19846.91</v>
      </c>
      <c r="G8" s="386">
        <v>0</v>
      </c>
      <c r="H8" s="385">
        <v>0</v>
      </c>
      <c r="I8" s="385">
        <v>0</v>
      </c>
      <c r="J8" s="386">
        <v>0</v>
      </c>
      <c r="K8" s="385">
        <v>19846.91</v>
      </c>
      <c r="L8" s="385">
        <v>19846.91</v>
      </c>
      <c r="M8" s="386">
        <v>0</v>
      </c>
    </row>
    <row r="9" spans="1:17" ht="15.75" thickBot="1" x14ac:dyDescent="0.3">
      <c r="A9" s="387" t="s">
        <v>10</v>
      </c>
      <c r="B9" s="388"/>
      <c r="C9" s="388"/>
      <c r="D9" s="388" t="s">
        <v>20</v>
      </c>
      <c r="E9" s="389">
        <v>160765498.08176002</v>
      </c>
      <c r="F9" s="389">
        <v>160765498.08176002</v>
      </c>
      <c r="G9" s="389">
        <v>0</v>
      </c>
      <c r="H9" s="389">
        <v>0</v>
      </c>
      <c r="I9" s="389">
        <v>0</v>
      </c>
      <c r="J9" s="389">
        <v>0</v>
      </c>
      <c r="K9" s="389">
        <v>160765498.08176002</v>
      </c>
      <c r="L9" s="389">
        <v>160765498.08176002</v>
      </c>
      <c r="M9" s="390">
        <v>0</v>
      </c>
    </row>
    <row r="10" spans="1:17" ht="15.75" thickBot="1" x14ac:dyDescent="0.3">
      <c r="A10" s="1033" t="s">
        <v>321</v>
      </c>
      <c r="B10" s="1034"/>
      <c r="C10" s="1034"/>
      <c r="D10" s="1034"/>
      <c r="E10" s="1034"/>
      <c r="F10" s="1034"/>
      <c r="G10" s="1034"/>
      <c r="H10" s="1034"/>
      <c r="I10" s="1034"/>
      <c r="J10" s="1034"/>
      <c r="K10" s="1034"/>
      <c r="L10" s="1034"/>
      <c r="M10" s="1035"/>
    </row>
  </sheetData>
  <mergeCells count="1">
    <mergeCell ref="A10:M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opLeftCell="N1" workbookViewId="0">
      <selection activeCell="AB25" sqref="AB25"/>
    </sheetView>
  </sheetViews>
  <sheetFormatPr baseColWidth="10" defaultColWidth="9.140625" defaultRowHeight="15" x14ac:dyDescent="0.25"/>
  <cols>
    <col min="1" max="1" width="16.5703125" bestFit="1" customWidth="1"/>
    <col min="2" max="2" width="8.140625" customWidth="1"/>
    <col min="3" max="3" width="7.5703125" customWidth="1"/>
    <col min="4" max="4" width="7.140625" bestFit="1" customWidth="1"/>
    <col min="5" max="5" width="7.5703125" customWidth="1"/>
    <col min="6" max="6" width="8.5703125" customWidth="1"/>
    <col min="7" max="7" width="8.140625" bestFit="1" customWidth="1"/>
    <col min="8" max="8" width="10.7109375" customWidth="1"/>
    <col min="9" max="9" width="9.85546875" customWidth="1"/>
    <col min="10" max="10" width="7.28515625" bestFit="1" customWidth="1"/>
    <col min="11" max="11" width="9.42578125" customWidth="1"/>
    <col min="12" max="12" width="9.5703125" customWidth="1"/>
    <col min="13" max="13" width="8.140625" bestFit="1" customWidth="1"/>
    <col min="14" max="14" width="2.28515625" customWidth="1"/>
    <col min="15" max="15" width="9" bestFit="1" customWidth="1"/>
    <col min="16" max="16" width="49.85546875" customWidth="1"/>
  </cols>
  <sheetData>
    <row r="1" spans="1:18" ht="15.75" thickBot="1" x14ac:dyDescent="0.3"/>
    <row r="2" spans="1:18" ht="32.1" customHeight="1" thickBot="1" x14ac:dyDescent="0.3">
      <c r="A2" s="69" t="s">
        <v>136</v>
      </c>
      <c r="B2" s="70" t="s">
        <v>171</v>
      </c>
      <c r="C2" s="70" t="s">
        <v>172</v>
      </c>
      <c r="D2" s="365" t="s">
        <v>137</v>
      </c>
      <c r="E2" s="70" t="s">
        <v>139</v>
      </c>
      <c r="F2" s="70" t="s">
        <v>138</v>
      </c>
      <c r="G2" s="365" t="s">
        <v>137</v>
      </c>
      <c r="H2" s="70" t="s">
        <v>141</v>
      </c>
      <c r="I2" s="70" t="s">
        <v>140</v>
      </c>
      <c r="J2" s="70" t="s">
        <v>137</v>
      </c>
      <c r="K2" s="70" t="s">
        <v>142</v>
      </c>
      <c r="L2" s="70" t="s">
        <v>143</v>
      </c>
      <c r="M2" s="70" t="s">
        <v>137</v>
      </c>
      <c r="O2" s="1036" t="s">
        <v>252</v>
      </c>
      <c r="P2" s="1037"/>
      <c r="Q2" s="1038"/>
    </row>
    <row r="3" spans="1:18" ht="15" customHeight="1" thickBot="1" x14ac:dyDescent="0.3">
      <c r="A3" s="332" t="s">
        <v>177</v>
      </c>
      <c r="B3" s="333" t="s">
        <v>134</v>
      </c>
      <c r="C3" s="363" t="s">
        <v>134</v>
      </c>
      <c r="D3" s="160" t="s">
        <v>134</v>
      </c>
      <c r="E3" s="364">
        <v>3474.7717499999999</v>
      </c>
      <c r="F3" s="338">
        <v>6550.7388499999997</v>
      </c>
      <c r="G3" s="370">
        <v>-3075.9670999999998</v>
      </c>
      <c r="H3" s="366">
        <v>0</v>
      </c>
      <c r="I3" s="338">
        <v>0</v>
      </c>
      <c r="J3" s="370">
        <v>0</v>
      </c>
      <c r="K3" s="337">
        <v>3474.7717499999999</v>
      </c>
      <c r="L3" s="337">
        <v>6550.7388499999997</v>
      </c>
      <c r="M3" s="370">
        <v>-3075.9670999999998</v>
      </c>
      <c r="O3" s="1039" t="s">
        <v>613</v>
      </c>
      <c r="P3" s="1040"/>
      <c r="Q3" s="1041"/>
    </row>
    <row r="4" spans="1:18" ht="12.95" customHeight="1" thickBot="1" x14ac:dyDescent="0.3">
      <c r="A4" s="332" t="s">
        <v>178</v>
      </c>
      <c r="B4" s="333" t="s">
        <v>134</v>
      </c>
      <c r="C4" s="363" t="s">
        <v>134</v>
      </c>
      <c r="D4" s="369" t="s">
        <v>134</v>
      </c>
      <c r="E4" s="34">
        <v>0</v>
      </c>
      <c r="F4" s="335">
        <v>1436.55486</v>
      </c>
      <c r="G4" s="371">
        <v>-1436.55486</v>
      </c>
      <c r="H4" s="304">
        <v>0</v>
      </c>
      <c r="I4" s="335">
        <v>0</v>
      </c>
      <c r="J4" s="371">
        <v>0</v>
      </c>
      <c r="K4" s="334">
        <v>0</v>
      </c>
      <c r="L4" s="334">
        <v>1436.55486</v>
      </c>
      <c r="M4" s="371">
        <v>-1436.55486</v>
      </c>
      <c r="O4" s="537" t="s">
        <v>253</v>
      </c>
      <c r="P4" s="538" t="s">
        <v>254</v>
      </c>
      <c r="Q4" s="538" t="s">
        <v>11</v>
      </c>
    </row>
    <row r="5" spans="1:18" ht="12.95" customHeight="1" thickBot="1" x14ac:dyDescent="0.3">
      <c r="A5" s="340" t="s">
        <v>10</v>
      </c>
      <c r="B5" s="336" t="s">
        <v>134</v>
      </c>
      <c r="C5" s="336" t="s">
        <v>134</v>
      </c>
      <c r="D5" s="372" t="s">
        <v>134</v>
      </c>
      <c r="E5" s="339">
        <v>3474.7717499999999</v>
      </c>
      <c r="F5" s="339">
        <v>7987.2937099999999</v>
      </c>
      <c r="G5" s="373">
        <v>-4512.52196</v>
      </c>
      <c r="H5" s="339">
        <v>0</v>
      </c>
      <c r="I5" s="339">
        <v>0</v>
      </c>
      <c r="J5" s="373">
        <v>0</v>
      </c>
      <c r="K5" s="339">
        <v>3474.7717499999999</v>
      </c>
      <c r="L5" s="339">
        <v>7987.2937099999999</v>
      </c>
      <c r="M5" s="374">
        <v>-4512.52196</v>
      </c>
      <c r="O5" s="540">
        <v>44729</v>
      </c>
      <c r="P5" s="541" t="s">
        <v>257</v>
      </c>
      <c r="Q5" s="542">
        <v>630.23</v>
      </c>
    </row>
    <row r="6" spans="1:18" ht="25.5" x14ac:dyDescent="0.25">
      <c r="O6" s="543">
        <v>45193</v>
      </c>
      <c r="P6" s="539" t="s">
        <v>377</v>
      </c>
      <c r="Q6" s="544">
        <v>615.96</v>
      </c>
    </row>
    <row r="7" spans="1:18" x14ac:dyDescent="0.25">
      <c r="O7" s="543">
        <v>45232</v>
      </c>
      <c r="P7" s="539" t="s">
        <v>322</v>
      </c>
      <c r="Q7" s="544">
        <v>630</v>
      </c>
    </row>
    <row r="8" spans="1:18" ht="25.5" x14ac:dyDescent="0.25">
      <c r="E8" t="s">
        <v>20</v>
      </c>
      <c r="O8" s="545" t="s">
        <v>255</v>
      </c>
      <c r="P8" s="539" t="s">
        <v>256</v>
      </c>
      <c r="Q8" s="544">
        <v>601.28</v>
      </c>
    </row>
    <row r="9" spans="1:18" x14ac:dyDescent="0.25">
      <c r="O9" s="1042">
        <v>45384</v>
      </c>
      <c r="P9" s="1043" t="s">
        <v>378</v>
      </c>
      <c r="Q9" s="1044">
        <v>139.86000000000001</v>
      </c>
    </row>
    <row r="10" spans="1:18" x14ac:dyDescent="0.25">
      <c r="O10" s="1042"/>
      <c r="P10" s="1043"/>
      <c r="Q10" s="1044"/>
    </row>
    <row r="11" spans="1:18" ht="25.5" x14ac:dyDescent="0.25">
      <c r="O11" s="543">
        <v>45384</v>
      </c>
      <c r="P11" s="539" t="s">
        <v>379</v>
      </c>
      <c r="Q11" s="544">
        <v>389.91</v>
      </c>
    </row>
    <row r="12" spans="1:18" ht="26.25" thickBot="1" x14ac:dyDescent="0.3">
      <c r="O12" s="546">
        <v>43348</v>
      </c>
      <c r="P12" s="547" t="s">
        <v>380</v>
      </c>
      <c r="Q12" s="548">
        <v>467.53</v>
      </c>
      <c r="R12" s="393" t="s">
        <v>20</v>
      </c>
    </row>
    <row r="13" spans="1:18" ht="15.75" thickBot="1" x14ac:dyDescent="0.3">
      <c r="O13" s="983" t="s">
        <v>19</v>
      </c>
      <c r="P13" s="984"/>
      <c r="Q13" s="536">
        <f>SUM(Q5:Q12)</f>
        <v>3474.7700000000004</v>
      </c>
    </row>
    <row r="20" spans="15:15" x14ac:dyDescent="0.25">
      <c r="O20" s="4" t="s">
        <v>20</v>
      </c>
    </row>
    <row r="22" spans="15:15" x14ac:dyDescent="0.25">
      <c r="O22" s="129" t="s">
        <v>20</v>
      </c>
    </row>
    <row r="23" spans="15:15" x14ac:dyDescent="0.25">
      <c r="O23" s="129" t="s">
        <v>20</v>
      </c>
    </row>
  </sheetData>
  <mergeCells count="6">
    <mergeCell ref="O13:P13"/>
    <mergeCell ref="O2:Q2"/>
    <mergeCell ref="O3:Q3"/>
    <mergeCell ref="O9:O10"/>
    <mergeCell ref="P9:P10"/>
    <mergeCell ref="Q9:Q10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"/>
  <sheetViews>
    <sheetView workbookViewId="0">
      <selection activeCell="P20" sqref="P20"/>
    </sheetView>
  </sheetViews>
  <sheetFormatPr baseColWidth="10" defaultColWidth="9.140625" defaultRowHeight="15" x14ac:dyDescent="0.25"/>
  <cols>
    <col min="2" max="2" width="33.42578125" bestFit="1" customWidth="1"/>
    <col min="3" max="3" width="14" bestFit="1" customWidth="1"/>
    <col min="6" max="6" width="33.42578125" bestFit="1" customWidth="1"/>
    <col min="7" max="8" width="13.85546875" bestFit="1" customWidth="1"/>
    <col min="9" max="9" width="20.85546875" customWidth="1"/>
    <col min="10" max="10" width="7.42578125" bestFit="1" customWidth="1"/>
  </cols>
  <sheetData>
    <row r="1" spans="2:14" ht="15.75" thickBot="1" x14ac:dyDescent="0.3"/>
    <row r="2" spans="2:14" ht="27" thickTop="1" thickBot="1" x14ac:dyDescent="0.3">
      <c r="B2" s="231" t="s">
        <v>258</v>
      </c>
      <c r="C2" s="232" t="s">
        <v>11</v>
      </c>
      <c r="F2" s="182" t="s">
        <v>44</v>
      </c>
      <c r="G2" s="480" t="s">
        <v>76</v>
      </c>
      <c r="H2" s="480" t="s">
        <v>77</v>
      </c>
      <c r="I2" s="480" t="s">
        <v>26</v>
      </c>
      <c r="J2" s="481" t="s">
        <v>25</v>
      </c>
    </row>
    <row r="3" spans="2:14" ht="16.5" thickTop="1" thickBot="1" x14ac:dyDescent="0.3">
      <c r="B3" s="233" t="s">
        <v>259</v>
      </c>
      <c r="C3" s="482">
        <v>10925838.630000001</v>
      </c>
      <c r="F3" s="266" t="s">
        <v>259</v>
      </c>
      <c r="G3" s="552">
        <v>10925838.630000001</v>
      </c>
      <c r="H3" s="552">
        <v>10925838.630000001</v>
      </c>
      <c r="I3" s="552">
        <v>0</v>
      </c>
      <c r="J3" s="553">
        <v>0</v>
      </c>
    </row>
    <row r="4" spans="2:14" ht="15.75" thickBot="1" x14ac:dyDescent="0.3">
      <c r="B4" s="233" t="s">
        <v>259</v>
      </c>
      <c r="C4" s="482">
        <v>14145058.939999999</v>
      </c>
      <c r="F4" s="269" t="s">
        <v>259</v>
      </c>
      <c r="G4" s="551">
        <v>14145058.939999999</v>
      </c>
      <c r="H4" s="551">
        <v>14145058.939999999</v>
      </c>
      <c r="I4" s="551">
        <v>0</v>
      </c>
      <c r="J4" s="554">
        <v>0</v>
      </c>
    </row>
    <row r="5" spans="2:14" ht="15.75" thickBot="1" x14ac:dyDescent="0.3">
      <c r="B5" s="233" t="s">
        <v>259</v>
      </c>
      <c r="C5" s="482">
        <v>23510063.48</v>
      </c>
      <c r="F5" s="269" t="s">
        <v>259</v>
      </c>
      <c r="G5" s="551">
        <v>23510063.48</v>
      </c>
      <c r="H5" s="551">
        <v>23510063.48</v>
      </c>
      <c r="I5" s="551">
        <v>0</v>
      </c>
      <c r="J5" s="554">
        <v>0</v>
      </c>
    </row>
    <row r="6" spans="2:14" ht="15.75" thickBot="1" x14ac:dyDescent="0.3">
      <c r="B6" s="234" t="s">
        <v>259</v>
      </c>
      <c r="C6" s="483">
        <v>29000000</v>
      </c>
      <c r="F6" s="269" t="s">
        <v>259</v>
      </c>
      <c r="G6" s="551">
        <v>29000000</v>
      </c>
      <c r="H6" s="551">
        <v>29000000</v>
      </c>
      <c r="I6" s="551">
        <v>0</v>
      </c>
      <c r="J6" s="554">
        <v>0</v>
      </c>
    </row>
    <row r="7" spans="2:14" ht="16.5" thickTop="1" thickBot="1" x14ac:dyDescent="0.3">
      <c r="B7" s="234" t="s">
        <v>259</v>
      </c>
      <c r="C7" s="168">
        <v>19998186.769999996</v>
      </c>
      <c r="F7" s="555" t="s">
        <v>259</v>
      </c>
      <c r="G7" s="556">
        <v>19998186.769999996</v>
      </c>
      <c r="H7" s="557">
        <v>0</v>
      </c>
      <c r="I7" s="557">
        <f>G7-H7</f>
        <v>19998186.769999996</v>
      </c>
      <c r="J7" s="558">
        <v>0</v>
      </c>
    </row>
    <row r="8" spans="2:14" ht="16.5" thickTop="1" thickBot="1" x14ac:dyDescent="0.3">
      <c r="B8" s="235" t="s">
        <v>19</v>
      </c>
      <c r="C8" s="78">
        <f>SUM(C3:C7)</f>
        <v>97579147.819999993</v>
      </c>
      <c r="F8" s="309" t="s">
        <v>19</v>
      </c>
      <c r="G8" s="549">
        <f>SUM(G3:G7)</f>
        <v>97579147.819999993</v>
      </c>
      <c r="H8" s="549">
        <f>SUM(H3:H7)</f>
        <v>77580961.049999997</v>
      </c>
      <c r="I8" s="549">
        <f>SUM(I3:I7)</f>
        <v>19998186.769999996</v>
      </c>
      <c r="J8" s="550">
        <f>I8/H8</f>
        <v>0.2577718360192961</v>
      </c>
      <c r="N8" t="s">
        <v>684</v>
      </c>
    </row>
    <row r="9" spans="2:14" ht="15.75" thickTop="1" x14ac:dyDescent="0.25"/>
    <row r="10" spans="2:14" x14ac:dyDescent="0.25">
      <c r="C10" s="4"/>
    </row>
    <row r="11" spans="2:14" x14ac:dyDescent="0.25">
      <c r="C11" s="4"/>
    </row>
    <row r="14" spans="2:14" x14ac:dyDescent="0.25">
      <c r="C14" s="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Q58"/>
  <sheetViews>
    <sheetView zoomScale="115" zoomScaleNormal="115" workbookViewId="0">
      <selection activeCell="H16" sqref="H16"/>
    </sheetView>
  </sheetViews>
  <sheetFormatPr baseColWidth="10" defaultColWidth="9.140625" defaultRowHeight="15" x14ac:dyDescent="0.25"/>
  <cols>
    <col min="1" max="1" width="12.140625" bestFit="1" customWidth="1"/>
    <col min="2" max="2" width="30.28515625" customWidth="1"/>
    <col min="3" max="3" width="10.85546875" bestFit="1" customWidth="1"/>
    <col min="4" max="4" width="12.140625" bestFit="1" customWidth="1"/>
    <col min="5" max="5" width="10.42578125" bestFit="1" customWidth="1"/>
    <col min="6" max="6" width="7.5703125" bestFit="1" customWidth="1"/>
    <col min="8" max="11" width="10.42578125" bestFit="1" customWidth="1"/>
  </cols>
  <sheetData>
    <row r="1" spans="1:355" ht="15.75" thickBot="1" x14ac:dyDescent="0.3"/>
    <row r="2" spans="1:355" s="68" customFormat="1" ht="25.5" x14ac:dyDescent="0.2">
      <c r="A2" s="182" t="s">
        <v>28</v>
      </c>
      <c r="B2" s="183" t="s">
        <v>44</v>
      </c>
      <c r="C2" s="184" t="s">
        <v>76</v>
      </c>
      <c r="D2" s="184" t="s">
        <v>77</v>
      </c>
      <c r="E2" s="184" t="s">
        <v>26</v>
      </c>
      <c r="F2" s="185" t="s">
        <v>25</v>
      </c>
    </row>
    <row r="3" spans="1:355" x14ac:dyDescent="0.25">
      <c r="A3" s="327" t="s">
        <v>190</v>
      </c>
      <c r="B3" s="310" t="s">
        <v>191</v>
      </c>
      <c r="C3" s="311">
        <v>302692.56270000001</v>
      </c>
      <c r="D3" s="837">
        <v>244379.68203</v>
      </c>
      <c r="E3" s="312">
        <f>C3-D3</f>
        <v>58312.880670000013</v>
      </c>
      <c r="F3" s="328">
        <f t="shared" ref="F3:F8" si="0">E3/D3</f>
        <v>0.23861591186963546</v>
      </c>
    </row>
    <row r="4" spans="1:355" x14ac:dyDescent="0.25">
      <c r="A4" s="327" t="s">
        <v>192</v>
      </c>
      <c r="B4" s="310" t="s">
        <v>193</v>
      </c>
      <c r="C4" s="311">
        <v>167406.06018</v>
      </c>
      <c r="D4" s="837">
        <v>197093.81154</v>
      </c>
      <c r="E4" s="312">
        <f>C4-D4</f>
        <v>-29687.751359999995</v>
      </c>
      <c r="F4" s="328">
        <f t="shared" si="0"/>
        <v>-0.15062751655180656</v>
      </c>
      <c r="G4" s="616"/>
    </row>
    <row r="5" spans="1:355" x14ac:dyDescent="0.25">
      <c r="A5" s="327" t="s">
        <v>194</v>
      </c>
      <c r="B5" s="310" t="s">
        <v>195</v>
      </c>
      <c r="C5" s="311">
        <v>46455.498</v>
      </c>
      <c r="D5" s="837">
        <v>49898.177349999998</v>
      </c>
      <c r="E5" s="312">
        <f>C5-D5</f>
        <v>-3442.6793499999985</v>
      </c>
      <c r="F5" s="328">
        <f t="shared" si="0"/>
        <v>-6.8994090222014873E-2</v>
      </c>
    </row>
    <row r="6" spans="1:355" x14ac:dyDescent="0.25">
      <c r="A6" s="327" t="s">
        <v>700</v>
      </c>
      <c r="B6" s="310" t="s">
        <v>685</v>
      </c>
      <c r="C6" s="933">
        <v>141.01499999999999</v>
      </c>
      <c r="D6" s="934">
        <v>964.50400000000002</v>
      </c>
      <c r="E6" s="312">
        <f>C6-D6</f>
        <v>-823.48900000000003</v>
      </c>
      <c r="F6" s="328">
        <f t="shared" si="0"/>
        <v>-0.85379531863009384</v>
      </c>
    </row>
    <row r="7" spans="1:355" s="264" customFormat="1" ht="15.75" thickBot="1" x14ac:dyDescent="0.3">
      <c r="A7" s="329" t="s">
        <v>286</v>
      </c>
      <c r="B7" s="68" t="s">
        <v>287</v>
      </c>
      <c r="C7" s="311"/>
      <c r="D7" s="837">
        <f>+D52</f>
        <v>0</v>
      </c>
      <c r="E7" s="312">
        <f>C7-D7</f>
        <v>0</v>
      </c>
      <c r="F7" s="328" t="e">
        <f t="shared" si="0"/>
        <v>#DIV/0!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</row>
    <row r="8" spans="1:355" ht="17.25" thickBot="1" x14ac:dyDescent="0.35">
      <c r="A8" s="29"/>
      <c r="B8" s="186" t="s">
        <v>10</v>
      </c>
      <c r="C8" s="117">
        <f>SUM(C3:C7)</f>
        <v>516695.13588000007</v>
      </c>
      <c r="D8" s="117">
        <f>SUM(D3:D7)</f>
        <v>492336.17492000002</v>
      </c>
      <c r="E8" s="117">
        <f>SUM(E3:E7)</f>
        <v>24358.960960000019</v>
      </c>
      <c r="F8" s="187">
        <f t="shared" si="0"/>
        <v>4.9476276984842971E-2</v>
      </c>
    </row>
    <row r="9" spans="1:355" ht="17.25" thickBot="1" x14ac:dyDescent="0.35">
      <c r="B9" s="112"/>
      <c r="C9" s="113"/>
      <c r="D9" s="113"/>
      <c r="E9" s="113"/>
      <c r="F9" s="114"/>
    </row>
    <row r="10" spans="1:355" ht="26.25" thickBot="1" x14ac:dyDescent="0.3">
      <c r="A10" s="182" t="s">
        <v>28</v>
      </c>
      <c r="B10" s="183" t="s">
        <v>44</v>
      </c>
      <c r="C10" s="184" t="s">
        <v>76</v>
      </c>
      <c r="D10" s="184" t="s">
        <v>77</v>
      </c>
      <c r="E10" s="184" t="s">
        <v>26</v>
      </c>
      <c r="F10" s="185" t="s">
        <v>25</v>
      </c>
    </row>
    <row r="11" spans="1:355" x14ac:dyDescent="0.25">
      <c r="A11" s="111" t="s">
        <v>190</v>
      </c>
      <c r="B11" s="110" t="s">
        <v>191</v>
      </c>
      <c r="C11" s="293"/>
      <c r="D11" s="293"/>
      <c r="E11" s="111"/>
      <c r="F11" s="111"/>
    </row>
    <row r="12" spans="1:355" ht="39" x14ac:dyDescent="0.25">
      <c r="A12" s="203" t="s">
        <v>239</v>
      </c>
      <c r="B12" s="74" t="s">
        <v>196</v>
      </c>
      <c r="C12" s="137">
        <v>45924.953380000006</v>
      </c>
      <c r="D12" s="138">
        <v>18856.478329999998</v>
      </c>
      <c r="E12" s="138">
        <f>C12-D12</f>
        <v>27068.475050000008</v>
      </c>
      <c r="F12" s="141">
        <f t="shared" ref="F12:F35" si="1">E12/D12</f>
        <v>1.4355000215992086</v>
      </c>
    </row>
    <row r="13" spans="1:355" ht="26.25" x14ac:dyDescent="0.25">
      <c r="A13" s="203" t="s">
        <v>609</v>
      </c>
      <c r="B13" s="74" t="s">
        <v>610</v>
      </c>
      <c r="C13" s="137"/>
      <c r="D13" s="138">
        <v>0</v>
      </c>
      <c r="E13" s="138">
        <f>C13-D13</f>
        <v>0</v>
      </c>
      <c r="F13" s="141" t="e">
        <f t="shared" si="1"/>
        <v>#DIV/0!</v>
      </c>
    </row>
    <row r="14" spans="1:355" ht="39" x14ac:dyDescent="0.25">
      <c r="A14" s="203" t="s">
        <v>240</v>
      </c>
      <c r="B14" s="74" t="s">
        <v>197</v>
      </c>
      <c r="C14" s="137">
        <v>974.59600999999998</v>
      </c>
      <c r="D14" s="138">
        <v>211417.48009999999</v>
      </c>
      <c r="E14" s="73">
        <f t="shared" ref="E14" si="2">C14-D14</f>
        <v>-210442.88408999998</v>
      </c>
      <c r="F14" s="141">
        <f t="shared" si="1"/>
        <v>-0.99539018245067046</v>
      </c>
    </row>
    <row r="15" spans="1:355" ht="39" x14ac:dyDescent="0.25">
      <c r="A15" s="203" t="s">
        <v>275</v>
      </c>
      <c r="B15" s="74" t="s">
        <v>276</v>
      </c>
      <c r="C15" s="137">
        <v>241330.97446999999</v>
      </c>
      <c r="D15" s="138">
        <v>0</v>
      </c>
      <c r="E15" s="73">
        <f>C15-D15</f>
        <v>241330.97446999999</v>
      </c>
      <c r="F15" s="141" t="e">
        <f t="shared" si="1"/>
        <v>#DIV/0!</v>
      </c>
    </row>
    <row r="16" spans="1:355" ht="26.25" x14ac:dyDescent="0.25">
      <c r="A16" s="203" t="s">
        <v>586</v>
      </c>
      <c r="B16" s="74" t="s">
        <v>587</v>
      </c>
      <c r="C16" s="137"/>
      <c r="D16" s="138">
        <v>0</v>
      </c>
      <c r="E16" s="73">
        <f>C16-D16</f>
        <v>0</v>
      </c>
      <c r="F16" s="142" t="e">
        <f t="shared" si="1"/>
        <v>#DIV/0!</v>
      </c>
      <c r="H16" s="432" t="s">
        <v>681</v>
      </c>
    </row>
    <row r="17" spans="1:8" ht="26.25" x14ac:dyDescent="0.25">
      <c r="A17" s="203" t="s">
        <v>288</v>
      </c>
      <c r="B17" s="74" t="s">
        <v>289</v>
      </c>
      <c r="C17" s="137"/>
      <c r="D17" s="138">
        <v>0</v>
      </c>
      <c r="E17" s="73">
        <f t="shared" ref="E17:E24" si="3">C17-D17</f>
        <v>0</v>
      </c>
      <c r="F17" s="142" t="e">
        <f t="shared" si="1"/>
        <v>#DIV/0!</v>
      </c>
    </row>
    <row r="18" spans="1:8" ht="26.25" x14ac:dyDescent="0.25">
      <c r="A18" s="203" t="s">
        <v>323</v>
      </c>
      <c r="B18" s="74" t="s">
        <v>324</v>
      </c>
      <c r="C18" s="137">
        <v>5235.3710000000001</v>
      </c>
      <c r="D18" s="138">
        <v>5918.9255999999996</v>
      </c>
      <c r="E18" s="73">
        <f t="shared" si="3"/>
        <v>-683.55459999999948</v>
      </c>
      <c r="F18" s="142">
        <f t="shared" si="1"/>
        <v>-0.11548626325020871</v>
      </c>
    </row>
    <row r="19" spans="1:8" ht="26.25" x14ac:dyDescent="0.25">
      <c r="A19" s="203" t="s">
        <v>331</v>
      </c>
      <c r="B19" s="74" t="s">
        <v>332</v>
      </c>
      <c r="C19" s="137"/>
      <c r="D19" s="138">
        <v>147.30000000000001</v>
      </c>
      <c r="E19" s="73">
        <f t="shared" si="3"/>
        <v>-147.30000000000001</v>
      </c>
      <c r="F19" s="142">
        <f t="shared" si="1"/>
        <v>-1</v>
      </c>
    </row>
    <row r="20" spans="1:8" ht="26.25" x14ac:dyDescent="0.25">
      <c r="A20" s="203" t="s">
        <v>290</v>
      </c>
      <c r="B20" s="74" t="s">
        <v>291</v>
      </c>
      <c r="C20" s="137">
        <v>8078.4748200000004</v>
      </c>
      <c r="D20" s="138">
        <v>2775</v>
      </c>
      <c r="E20" s="73">
        <f t="shared" si="3"/>
        <v>5303.4748200000004</v>
      </c>
      <c r="F20" s="142">
        <f t="shared" si="1"/>
        <v>1.9111620972972974</v>
      </c>
    </row>
    <row r="21" spans="1:8" ht="26.25" x14ac:dyDescent="0.25">
      <c r="A21" s="203" t="s">
        <v>608</v>
      </c>
      <c r="B21" s="74" t="s">
        <v>300</v>
      </c>
      <c r="C21" s="137">
        <v>240.69302999999999</v>
      </c>
      <c r="D21" s="138">
        <v>55.2</v>
      </c>
      <c r="E21" s="73">
        <f t="shared" si="3"/>
        <v>185.49302999999998</v>
      </c>
      <c r="F21" s="142">
        <f t="shared" si="1"/>
        <v>3.3603809782608689</v>
      </c>
    </row>
    <row r="22" spans="1:8" ht="26.25" x14ac:dyDescent="0.25">
      <c r="A22" s="203" t="s">
        <v>341</v>
      </c>
      <c r="B22" s="74" t="s">
        <v>342</v>
      </c>
      <c r="C22" s="137"/>
      <c r="D22" s="138">
        <v>4850.9979999999996</v>
      </c>
      <c r="E22" s="73">
        <f t="shared" si="3"/>
        <v>-4850.9979999999996</v>
      </c>
      <c r="F22" s="142">
        <f t="shared" si="1"/>
        <v>-1</v>
      </c>
    </row>
    <row r="23" spans="1:8" ht="26.25" x14ac:dyDescent="0.25">
      <c r="A23" s="203" t="s">
        <v>292</v>
      </c>
      <c r="B23" s="74" t="s">
        <v>293</v>
      </c>
      <c r="C23" s="137"/>
      <c r="D23" s="138">
        <v>0</v>
      </c>
      <c r="E23" s="73">
        <f t="shared" si="3"/>
        <v>0</v>
      </c>
      <c r="F23" s="142" t="e">
        <f t="shared" si="1"/>
        <v>#DIV/0!</v>
      </c>
    </row>
    <row r="24" spans="1:8" ht="27" thickBot="1" x14ac:dyDescent="0.3">
      <c r="A24" s="203" t="s">
        <v>301</v>
      </c>
      <c r="B24" s="74" t="s">
        <v>302</v>
      </c>
      <c r="C24" s="137">
        <v>907.49999000000003</v>
      </c>
      <c r="D24" s="138">
        <v>358.3</v>
      </c>
      <c r="E24" s="73">
        <f t="shared" si="3"/>
        <v>549.19999000000007</v>
      </c>
      <c r="F24" s="142">
        <f t="shared" si="1"/>
        <v>1.5327937203460789</v>
      </c>
    </row>
    <row r="25" spans="1:8" ht="15.75" thickBot="1" x14ac:dyDescent="0.3">
      <c r="A25" s="116"/>
      <c r="B25" s="115" t="s">
        <v>10</v>
      </c>
      <c r="C25" s="100">
        <f>SUM(C12:C24)</f>
        <v>302692.56270000001</v>
      </c>
      <c r="D25" s="100">
        <f>SUM(D12:D24)</f>
        <v>244379.68202999997</v>
      </c>
      <c r="E25" s="100">
        <f>SUM(E12:E24)</f>
        <v>58312.880670000013</v>
      </c>
      <c r="F25" s="92">
        <f t="shared" si="1"/>
        <v>0.23861591186963549</v>
      </c>
    </row>
    <row r="26" spans="1:8" ht="15.75" thickBot="1" x14ac:dyDescent="0.3">
      <c r="B26" s="131"/>
      <c r="C26" s="134"/>
      <c r="D26" s="134"/>
      <c r="E26" s="134"/>
      <c r="F26" s="133"/>
    </row>
    <row r="27" spans="1:8" ht="26.25" thickBot="1" x14ac:dyDescent="0.3">
      <c r="A27" s="182" t="s">
        <v>28</v>
      </c>
      <c r="B27" s="183" t="s">
        <v>44</v>
      </c>
      <c r="C27" s="184" t="s">
        <v>76</v>
      </c>
      <c r="D27" s="184" t="s">
        <v>77</v>
      </c>
      <c r="E27" s="184" t="s">
        <v>26</v>
      </c>
      <c r="F27" s="185" t="s">
        <v>25</v>
      </c>
    </row>
    <row r="28" spans="1:8" x14ac:dyDescent="0.25">
      <c r="A28" s="205"/>
      <c r="B28" s="110" t="s">
        <v>193</v>
      </c>
      <c r="C28" s="111"/>
      <c r="D28" s="111"/>
      <c r="E28" s="111"/>
      <c r="F28" s="294" t="s">
        <v>20</v>
      </c>
    </row>
    <row r="29" spans="1:8" ht="26.25" x14ac:dyDescent="0.25">
      <c r="A29" s="202" t="s">
        <v>241</v>
      </c>
      <c r="B29" s="74" t="s">
        <v>243</v>
      </c>
      <c r="C29" s="137">
        <v>29826.260190000001</v>
      </c>
      <c r="D29" s="138">
        <v>72046.913440000004</v>
      </c>
      <c r="E29" s="138">
        <f t="shared" ref="E29:E34" si="4">C29-D29</f>
        <v>-42220.653250000003</v>
      </c>
      <c r="F29" s="96">
        <f t="shared" si="1"/>
        <v>-0.58601612802137548</v>
      </c>
    </row>
    <row r="30" spans="1:8" ht="26.25" x14ac:dyDescent="0.25">
      <c r="A30" s="202" t="s">
        <v>242</v>
      </c>
      <c r="B30" s="74" t="s">
        <v>244</v>
      </c>
      <c r="C30" s="137">
        <v>82747.69451999999</v>
      </c>
      <c r="D30" s="138">
        <v>85171.420400000003</v>
      </c>
      <c r="E30" s="73">
        <f t="shared" si="4"/>
        <v>-2423.7258800000127</v>
      </c>
      <c r="F30" s="96">
        <f t="shared" si="1"/>
        <v>-2.8457032518856673E-2</v>
      </c>
    </row>
    <row r="31" spans="1:8" ht="39" x14ac:dyDescent="0.25">
      <c r="A31" s="203" t="s">
        <v>245</v>
      </c>
      <c r="B31" s="74" t="s">
        <v>198</v>
      </c>
      <c r="C31" s="137">
        <v>49848.269090000002</v>
      </c>
      <c r="D31" s="138">
        <v>18306.318169999999</v>
      </c>
      <c r="E31" s="73">
        <f t="shared" si="4"/>
        <v>31541.950920000003</v>
      </c>
      <c r="F31" s="96">
        <f t="shared" si="1"/>
        <v>1.7230089976088296</v>
      </c>
      <c r="H31" s="432" t="s">
        <v>681</v>
      </c>
    </row>
    <row r="32" spans="1:8" ht="26.25" x14ac:dyDescent="0.25">
      <c r="A32" s="203" t="s">
        <v>325</v>
      </c>
      <c r="B32" s="74" t="s">
        <v>326</v>
      </c>
      <c r="C32" s="137"/>
      <c r="D32" s="138">
        <v>8891.8164099999995</v>
      </c>
      <c r="E32" s="73">
        <f>C32-D32</f>
        <v>-8891.8164099999995</v>
      </c>
      <c r="F32" s="96">
        <f t="shared" si="1"/>
        <v>-1</v>
      </c>
    </row>
    <row r="33" spans="1:8" ht="26.25" x14ac:dyDescent="0.25">
      <c r="A33" s="203" t="s">
        <v>246</v>
      </c>
      <c r="B33" s="74" t="s">
        <v>199</v>
      </c>
      <c r="C33" s="137">
        <v>4983.83637</v>
      </c>
      <c r="D33" s="138">
        <v>12677.34312</v>
      </c>
      <c r="E33" s="73">
        <f t="shared" si="4"/>
        <v>-7693.5067499999996</v>
      </c>
      <c r="F33" s="96">
        <f t="shared" si="1"/>
        <v>-0.60687059403342869</v>
      </c>
    </row>
    <row r="34" spans="1:8" ht="27" thickBot="1" x14ac:dyDescent="0.3">
      <c r="A34" s="313" t="s">
        <v>303</v>
      </c>
      <c r="B34" s="74" t="s">
        <v>304</v>
      </c>
      <c r="C34" s="137"/>
      <c r="D34" s="138">
        <v>0</v>
      </c>
      <c r="E34" s="75">
        <f t="shared" si="4"/>
        <v>0</v>
      </c>
      <c r="F34" s="97" t="e">
        <f t="shared" si="1"/>
        <v>#DIV/0!</v>
      </c>
    </row>
    <row r="35" spans="1:8" ht="15.75" thickBot="1" x14ac:dyDescent="0.3">
      <c r="A35" s="116"/>
      <c r="B35" s="115" t="s">
        <v>10</v>
      </c>
      <c r="C35" s="117">
        <f>SUM(C29:C34)</f>
        <v>167406.06016999998</v>
      </c>
      <c r="D35" s="117">
        <f>SUM(D29:D34)</f>
        <v>197093.81154000002</v>
      </c>
      <c r="E35" s="117">
        <f>C35-D35</f>
        <v>-29687.751370000042</v>
      </c>
      <c r="F35" s="92">
        <f t="shared" si="1"/>
        <v>-0.15062751660254406</v>
      </c>
    </row>
    <row r="36" spans="1:8" ht="15.75" thickBot="1" x14ac:dyDescent="0.3">
      <c r="B36" s="135"/>
      <c r="C36" s="236" t="s">
        <v>20</v>
      </c>
      <c r="D36" s="236" t="s">
        <v>20</v>
      </c>
      <c r="E36" s="132" t="s">
        <v>20</v>
      </c>
      <c r="F36" s="136"/>
    </row>
    <row r="37" spans="1:8" ht="26.25" thickBot="1" x14ac:dyDescent="0.3">
      <c r="A37" s="182" t="s">
        <v>212</v>
      </c>
      <c r="B37" s="183" t="s">
        <v>44</v>
      </c>
      <c r="C37" s="184" t="s">
        <v>76</v>
      </c>
      <c r="D37" s="184" t="s">
        <v>77</v>
      </c>
      <c r="E37" s="184" t="s">
        <v>26</v>
      </c>
      <c r="F37" s="185" t="s">
        <v>25</v>
      </c>
    </row>
    <row r="38" spans="1:8" ht="25.5" x14ac:dyDescent="0.25">
      <c r="A38" s="140"/>
      <c r="B38" s="139" t="s">
        <v>200</v>
      </c>
      <c r="C38" s="137"/>
      <c r="D38" s="137"/>
      <c r="E38" s="138"/>
      <c r="F38" s="96" t="s">
        <v>20</v>
      </c>
    </row>
    <row r="39" spans="1:8" ht="25.5" x14ac:dyDescent="0.25">
      <c r="A39" s="330" t="s">
        <v>285</v>
      </c>
      <c r="B39" s="93" t="s">
        <v>200</v>
      </c>
      <c r="C39" s="137"/>
      <c r="D39" s="138">
        <v>0</v>
      </c>
      <c r="E39" s="138">
        <f t="shared" ref="E39:E42" si="5">C39-D39</f>
        <v>0</v>
      </c>
      <c r="F39" s="96" t="e">
        <f>E39/D39</f>
        <v>#DIV/0!</v>
      </c>
    </row>
    <row r="40" spans="1:8" ht="25.5" x14ac:dyDescent="0.25">
      <c r="A40" s="330" t="s">
        <v>294</v>
      </c>
      <c r="B40" s="93" t="s">
        <v>295</v>
      </c>
      <c r="C40" s="137"/>
      <c r="D40" s="138">
        <v>0</v>
      </c>
      <c r="E40" s="67">
        <f t="shared" si="5"/>
        <v>0</v>
      </c>
      <c r="F40" s="96" t="e">
        <f t="shared" ref="F40:F42" si="6">E40/D40</f>
        <v>#DIV/0!</v>
      </c>
      <c r="H40" s="432" t="s">
        <v>681</v>
      </c>
    </row>
    <row r="41" spans="1:8" ht="38.25" x14ac:dyDescent="0.25">
      <c r="A41" s="330" t="s">
        <v>296</v>
      </c>
      <c r="B41" s="93" t="s">
        <v>297</v>
      </c>
      <c r="C41" s="137">
        <v>46455.498</v>
      </c>
      <c r="D41" s="138">
        <v>49898.177349999998</v>
      </c>
      <c r="E41" s="67">
        <f t="shared" si="5"/>
        <v>-3442.6793499999985</v>
      </c>
      <c r="F41" s="96">
        <f t="shared" si="6"/>
        <v>-6.8994090222014873E-2</v>
      </c>
    </row>
    <row r="42" spans="1:8" ht="26.25" thickBot="1" x14ac:dyDescent="0.3">
      <c r="A42" s="330" t="s">
        <v>298</v>
      </c>
      <c r="B42" s="93" t="s">
        <v>299</v>
      </c>
      <c r="C42" s="137"/>
      <c r="D42" s="138">
        <v>0</v>
      </c>
      <c r="E42" s="67">
        <f t="shared" si="5"/>
        <v>0</v>
      </c>
      <c r="F42" s="96" t="e">
        <f t="shared" si="6"/>
        <v>#DIV/0!</v>
      </c>
    </row>
    <row r="43" spans="1:8" ht="15.75" thickBot="1" x14ac:dyDescent="0.3">
      <c r="A43" s="116"/>
      <c r="B43" s="341" t="s">
        <v>10</v>
      </c>
      <c r="C43" s="188">
        <f>SUM(C39:C42)</f>
        <v>46455.498</v>
      </c>
      <c r="D43" s="188">
        <f>SUM(D39:D42)</f>
        <v>49898.177349999998</v>
      </c>
      <c r="E43" s="188">
        <f>SUM(E39:E42)</f>
        <v>-3442.6793499999985</v>
      </c>
      <c r="F43" s="92">
        <f>E43/D43</f>
        <v>-6.8994090222014873E-2</v>
      </c>
    </row>
    <row r="44" spans="1:8" ht="15.75" thickBot="1" x14ac:dyDescent="0.3"/>
    <row r="45" spans="1:8" ht="25.5" x14ac:dyDescent="0.25">
      <c r="A45" s="182" t="s">
        <v>212</v>
      </c>
      <c r="B45" s="183" t="s">
        <v>44</v>
      </c>
      <c r="C45" s="184" t="s">
        <v>76</v>
      </c>
      <c r="D45" s="184" t="s">
        <v>77</v>
      </c>
      <c r="E45" s="184" t="s">
        <v>26</v>
      </c>
      <c r="F45" s="185" t="s">
        <v>25</v>
      </c>
    </row>
    <row r="46" spans="1:8" x14ac:dyDescent="0.25">
      <c r="B46" s="935" t="s">
        <v>685</v>
      </c>
      <c r="C46" s="865"/>
      <c r="D46" s="865"/>
      <c r="E46" s="865"/>
      <c r="F46" s="865"/>
    </row>
    <row r="47" spans="1:8" ht="26.25" thickBot="1" x14ac:dyDescent="0.3">
      <c r="A47" s="330" t="s">
        <v>687</v>
      </c>
      <c r="B47" s="936" t="s">
        <v>686</v>
      </c>
      <c r="C47" s="264">
        <v>141.01499999999999</v>
      </c>
      <c r="D47" s="865">
        <v>964.50400000000002</v>
      </c>
      <c r="E47" s="865"/>
      <c r="F47" s="865"/>
    </row>
    <row r="48" spans="1:8" ht="15.75" thickBot="1" x14ac:dyDescent="0.3">
      <c r="A48" s="116"/>
      <c r="B48" s="341" t="s">
        <v>10</v>
      </c>
      <c r="C48" s="937">
        <f>SUM(C44:C47)</f>
        <v>141.01499999999999</v>
      </c>
      <c r="D48" s="937">
        <f>SUM(D44:D47)</f>
        <v>964.50400000000002</v>
      </c>
      <c r="E48" s="937">
        <f>SUM(E44:E47)</f>
        <v>0</v>
      </c>
      <c r="F48" s="938">
        <f>E48/D48</f>
        <v>0</v>
      </c>
    </row>
    <row r="51" spans="1:8" ht="26.25" thickBot="1" x14ac:dyDescent="0.3">
      <c r="A51" s="98" t="s">
        <v>28</v>
      </c>
      <c r="B51" s="98" t="s">
        <v>44</v>
      </c>
      <c r="C51" s="99" t="s">
        <v>76</v>
      </c>
      <c r="D51" s="99" t="s">
        <v>77</v>
      </c>
      <c r="E51" s="99" t="s">
        <v>26</v>
      </c>
      <c r="F51" s="99" t="s">
        <v>25</v>
      </c>
    </row>
    <row r="52" spans="1:8" ht="26.25" thickBot="1" x14ac:dyDescent="0.3">
      <c r="A52" s="204" t="s">
        <v>588</v>
      </c>
      <c r="B52" s="170" t="s">
        <v>222</v>
      </c>
      <c r="C52" s="85"/>
      <c r="D52" s="85">
        <v>0</v>
      </c>
      <c r="E52" s="85">
        <f>C52-D52</f>
        <v>0</v>
      </c>
      <c r="F52" s="92" t="e">
        <f>E52/D52</f>
        <v>#DIV/0!</v>
      </c>
      <c r="H52" s="432" t="s">
        <v>681</v>
      </c>
    </row>
    <row r="53" spans="1:8" ht="15.75" thickBot="1" x14ac:dyDescent="0.3">
      <c r="B53" s="341" t="s">
        <v>10</v>
      </c>
      <c r="C53" s="4">
        <f>+C52</f>
        <v>0</v>
      </c>
    </row>
    <row r="54" spans="1:8" ht="15.75" thickBot="1" x14ac:dyDescent="0.3">
      <c r="A54" s="1045" t="s">
        <v>19</v>
      </c>
      <c r="B54" s="1046"/>
      <c r="C54" s="117">
        <f>C25+C35+C43+C52</f>
        <v>516554.12086999998</v>
      </c>
      <c r="D54" s="117">
        <f>D25+D35+D43+D52+D48</f>
        <v>492336.17492000002</v>
      </c>
      <c r="E54" s="117">
        <f>C54-D54</f>
        <v>24217.945949999965</v>
      </c>
      <c r="F54" s="92">
        <f>E54/D54</f>
        <v>4.9189856816706901E-2</v>
      </c>
    </row>
    <row r="56" spans="1:8" x14ac:dyDescent="0.25">
      <c r="D56" s="4" t="s">
        <v>20</v>
      </c>
    </row>
    <row r="58" spans="1:8" x14ac:dyDescent="0.25">
      <c r="D58" s="181" t="s">
        <v>20</v>
      </c>
    </row>
  </sheetData>
  <protectedRanges>
    <protectedRange sqref="B28" name="Rango1_1_16"/>
    <protectedRange sqref="B29" name="Rango1_1_18"/>
    <protectedRange sqref="B31:B32" name="Rango1_1_22"/>
    <protectedRange sqref="B33" name="Rango1_1_24"/>
    <protectedRange sqref="B34" name="Rango1_1_26"/>
    <protectedRange sqref="B11" name="Rango1_1_29"/>
    <protectedRange sqref="C38:C42 C29:C34 C12:C24" name="Rango1_1_2_2"/>
    <protectedRange sqref="C52" name="Rango1_5"/>
    <protectedRange sqref="A12" name="Rango1_3"/>
    <protectedRange sqref="A14:A15 A17:A24" name="Rango1_7"/>
    <protectedRange sqref="A29" name="Rango1_14"/>
    <protectedRange sqref="A30:B30" name="Rango1_16"/>
    <protectedRange sqref="A34" name="Rango1_17"/>
    <protectedRange sqref="A52" name="Rango1_1_3"/>
    <protectedRange sqref="C4" name="Rango1"/>
    <protectedRange sqref="C7 G7:XFD7 A7" name="Rango1_2"/>
    <protectedRange sqref="C3" name="Rango1_8"/>
    <protectedRange sqref="D4" name="Rango1_1"/>
    <protectedRange sqref="B7" name="Rango1_9"/>
    <protectedRange sqref="D7" name="Rango1_10"/>
    <protectedRange sqref="B18:B19" name="Rango1_6"/>
    <protectedRange sqref="D31" name="Rango1_12"/>
    <protectedRange sqref="A16" name="Rango1_13"/>
    <protectedRange sqref="B52" name="Rango1_15"/>
    <protectedRange sqref="A13" name="Rango1_4"/>
    <protectedRange sqref="D42" name="Rango1_40"/>
    <protectedRange sqref="B6" name="Rango1_11"/>
    <protectedRange sqref="B46" name="Rango1_19"/>
    <protectedRange sqref="B47" name="Rango1_20"/>
    <protectedRange sqref="A47" name="Rango1_22"/>
    <protectedRange sqref="C47" name="Rango1_38"/>
  </protectedRanges>
  <mergeCells count="1">
    <mergeCell ref="A54:B54"/>
  </mergeCells>
  <pageMargins left="0.7" right="0.7" top="0.75" bottom="0.75" header="0.3" footer="0.3"/>
  <pageSetup orientation="portrait" r:id="rId1"/>
  <ignoredErrors>
    <ignoredError sqref="F8" evalErro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workbookViewId="0">
      <selection activeCell="P23" sqref="P23"/>
    </sheetView>
  </sheetViews>
  <sheetFormatPr baseColWidth="10" defaultColWidth="9.140625" defaultRowHeight="15" x14ac:dyDescent="0.25"/>
  <cols>
    <col min="1" max="1" width="6.140625" bestFit="1" customWidth="1"/>
    <col min="2" max="2" width="48.140625" bestFit="1" customWidth="1"/>
    <col min="4" max="4" width="10.140625" bestFit="1" customWidth="1"/>
    <col min="6" max="6" width="7.42578125" customWidth="1"/>
    <col min="8" max="8" width="7.7109375" customWidth="1"/>
    <col min="9" max="9" width="13.85546875" bestFit="1" customWidth="1"/>
  </cols>
  <sheetData>
    <row r="2" spans="1:9" ht="15.75" thickBot="1" x14ac:dyDescent="0.3"/>
    <row r="3" spans="1:9" ht="26.25" thickBot="1" x14ac:dyDescent="0.3">
      <c r="A3" s="296" t="s">
        <v>212</v>
      </c>
      <c r="B3" s="297" t="s">
        <v>44</v>
      </c>
      <c r="C3" s="298" t="s">
        <v>76</v>
      </c>
      <c r="D3" s="298" t="s">
        <v>77</v>
      </c>
      <c r="E3" s="298" t="s">
        <v>26</v>
      </c>
      <c r="F3" s="299" t="s">
        <v>25</v>
      </c>
    </row>
    <row r="4" spans="1:9" x14ac:dyDescent="0.25">
      <c r="A4" s="140"/>
      <c r="B4" s="291" t="s">
        <v>200</v>
      </c>
      <c r="C4" s="292"/>
      <c r="D4" s="292"/>
      <c r="E4" s="293"/>
      <c r="F4" s="294" t="s">
        <v>20</v>
      </c>
    </row>
    <row r="5" spans="1:9" x14ac:dyDescent="0.25">
      <c r="A5" s="135">
        <v>11206</v>
      </c>
      <c r="B5" s="93" t="s">
        <v>184</v>
      </c>
      <c r="C5" s="138">
        <v>4983.83637</v>
      </c>
      <c r="D5" s="138">
        <v>12677.34312</v>
      </c>
      <c r="E5" s="138">
        <f>C5-D5</f>
        <v>-7693.5067499999996</v>
      </c>
      <c r="F5" s="96">
        <f>E5/D5</f>
        <v>-0.60687059403342869</v>
      </c>
      <c r="H5" t="s">
        <v>20</v>
      </c>
      <c r="I5" s="683"/>
    </row>
    <row r="6" spans="1:9" x14ac:dyDescent="0.25">
      <c r="A6" s="135">
        <v>11219</v>
      </c>
      <c r="B6" s="93" t="s">
        <v>185</v>
      </c>
      <c r="C6" s="67">
        <v>0</v>
      </c>
      <c r="D6" s="67">
        <v>0</v>
      </c>
      <c r="E6" s="67">
        <f>C6-D6</f>
        <v>0</v>
      </c>
      <c r="F6" s="96" t="e">
        <f>E6/D6</f>
        <v>#DIV/0!</v>
      </c>
    </row>
    <row r="7" spans="1:9" ht="25.5" x14ac:dyDescent="0.25">
      <c r="A7" s="135">
        <v>12553</v>
      </c>
      <c r="B7" s="93" t="s">
        <v>186</v>
      </c>
      <c r="C7" s="67">
        <v>0</v>
      </c>
      <c r="D7" s="67">
        <v>0</v>
      </c>
      <c r="E7" s="67">
        <f t="shared" ref="E7:E12" si="0">C7-D7</f>
        <v>0</v>
      </c>
      <c r="F7" s="96" t="e">
        <f t="shared" ref="F7:F13" si="1">E7/D7</f>
        <v>#DIV/0!</v>
      </c>
      <c r="H7" s="850"/>
      <c r="I7" s="563" t="s">
        <v>681</v>
      </c>
    </row>
    <row r="8" spans="1:9" x14ac:dyDescent="0.25">
      <c r="A8" s="135">
        <v>12581</v>
      </c>
      <c r="B8" s="93" t="s">
        <v>187</v>
      </c>
      <c r="C8" s="67">
        <v>0</v>
      </c>
      <c r="D8" s="67">
        <v>0</v>
      </c>
      <c r="E8" s="67">
        <f t="shared" si="0"/>
        <v>0</v>
      </c>
      <c r="F8" s="96" t="e">
        <f t="shared" si="1"/>
        <v>#DIV/0!</v>
      </c>
    </row>
    <row r="9" spans="1:9" x14ac:dyDescent="0.25">
      <c r="A9" s="135">
        <v>12784</v>
      </c>
      <c r="B9" s="93" t="s">
        <v>284</v>
      </c>
      <c r="C9" s="67">
        <v>0</v>
      </c>
      <c r="D9" s="67">
        <v>0</v>
      </c>
      <c r="E9" s="67">
        <f>C9-D9</f>
        <v>0</v>
      </c>
      <c r="F9" s="96" t="e">
        <f t="shared" si="1"/>
        <v>#DIV/0!</v>
      </c>
    </row>
    <row r="10" spans="1:9" x14ac:dyDescent="0.25">
      <c r="A10" s="135">
        <v>14253</v>
      </c>
      <c r="B10" s="93" t="s">
        <v>213</v>
      </c>
      <c r="C10" s="824">
        <v>46455.498</v>
      </c>
      <c r="D10" s="824">
        <v>49898.177349999998</v>
      </c>
      <c r="E10" s="67">
        <f t="shared" si="0"/>
        <v>-3442.6793499999985</v>
      </c>
      <c r="F10" s="96">
        <f t="shared" si="1"/>
        <v>-6.8994090222014873E-2</v>
      </c>
    </row>
    <row r="11" spans="1:9" x14ac:dyDescent="0.25">
      <c r="A11" s="135">
        <v>15910</v>
      </c>
      <c r="B11" s="93" t="s">
        <v>188</v>
      </c>
      <c r="C11" s="67">
        <v>0</v>
      </c>
      <c r="D11" s="67">
        <v>0</v>
      </c>
      <c r="E11" s="67">
        <f t="shared" si="0"/>
        <v>0</v>
      </c>
      <c r="F11" s="96" t="e">
        <f t="shared" si="1"/>
        <v>#DIV/0!</v>
      </c>
    </row>
    <row r="12" spans="1:9" ht="15.75" thickBot="1" x14ac:dyDescent="0.3">
      <c r="A12" s="295">
        <v>15980</v>
      </c>
      <c r="B12" s="94" t="s">
        <v>189</v>
      </c>
      <c r="C12" s="67">
        <v>0</v>
      </c>
      <c r="D12" s="67">
        <v>0</v>
      </c>
      <c r="E12" s="95">
        <f t="shared" si="0"/>
        <v>0</v>
      </c>
      <c r="F12" s="97" t="e">
        <f t="shared" si="1"/>
        <v>#DIV/0!</v>
      </c>
    </row>
    <row r="13" spans="1:9" ht="15.75" thickBot="1" x14ac:dyDescent="0.3">
      <c r="A13" s="116"/>
      <c r="B13" s="115" t="s">
        <v>10</v>
      </c>
      <c r="C13" s="188">
        <f>SUM(C5:C12)</f>
        <v>51439.334369999997</v>
      </c>
      <c r="D13" s="188">
        <f>SUM(D5:D12)</f>
        <v>62575.520469999996</v>
      </c>
      <c r="E13" s="188">
        <f>SUM(E5:E12)</f>
        <v>-11136.186099999999</v>
      </c>
      <c r="F13" s="92">
        <f t="shared" si="1"/>
        <v>-0.17796393887508963</v>
      </c>
    </row>
    <row r="15" spans="1:9" x14ac:dyDescent="0.25">
      <c r="D15" t="s">
        <v>20</v>
      </c>
    </row>
    <row r="16" spans="1:9" x14ac:dyDescent="0.25">
      <c r="D16" t="s">
        <v>20</v>
      </c>
    </row>
  </sheetData>
  <protectedRanges>
    <protectedRange sqref="D5" name="Rango1_1"/>
    <protectedRange sqref="D6" name="Rango1_1_1"/>
    <protectedRange sqref="D7" name="Rango1_1_2"/>
    <protectedRange sqref="D8" name="Rango1_1_3"/>
    <protectedRange sqref="D9" name="Rango1_1_4"/>
    <protectedRange sqref="D10" name="Rango1_1_5"/>
    <protectedRange sqref="D11" name="Rango1_1_6"/>
    <protectedRange sqref="D12" name="Rango1_1_7"/>
    <protectedRange sqref="C6" name="Rango1_3"/>
    <protectedRange sqref="H5" name="Rango1_4"/>
    <protectedRange sqref="C7:C9" name="Rango1_5"/>
    <protectedRange sqref="C10" name="Rango1_6"/>
    <protectedRange sqref="C11:C12" name="Rango1_7"/>
    <protectedRange sqref="C5" name="Rango1_8"/>
  </protectedRange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tabSelected="1" workbookViewId="0">
      <selection activeCell="H19" sqref="H19"/>
    </sheetView>
  </sheetViews>
  <sheetFormatPr baseColWidth="10" defaultColWidth="9.140625" defaultRowHeight="15" x14ac:dyDescent="0.25"/>
  <cols>
    <col min="1" max="1" width="18.42578125" customWidth="1"/>
    <col min="2" max="2" width="49.42578125" bestFit="1" customWidth="1"/>
    <col min="3" max="3" width="12.5703125" bestFit="1" customWidth="1"/>
    <col min="4" max="4" width="12" customWidth="1"/>
    <col min="5" max="6" width="13.5703125" customWidth="1"/>
    <col min="8" max="8" width="13" customWidth="1"/>
    <col min="9" max="9" width="11.28515625" customWidth="1"/>
    <col min="10" max="10" width="15.28515625" customWidth="1"/>
    <col min="11" max="11" width="11.42578125" customWidth="1"/>
  </cols>
  <sheetData>
    <row r="2" spans="1:11" ht="26.25" thickBot="1" x14ac:dyDescent="0.3">
      <c r="A2" s="98" t="s">
        <v>28</v>
      </c>
      <c r="B2" s="98" t="s">
        <v>44</v>
      </c>
      <c r="C2" s="99" t="s">
        <v>76</v>
      </c>
      <c r="D2" s="99" t="s">
        <v>77</v>
      </c>
      <c r="E2" s="99" t="s">
        <v>26</v>
      </c>
      <c r="F2" s="99" t="s">
        <v>25</v>
      </c>
    </row>
    <row r="3" spans="1:11" ht="26.25" thickBot="1" x14ac:dyDescent="0.3">
      <c r="A3" s="204" t="s">
        <v>247</v>
      </c>
      <c r="B3" s="206" t="s">
        <v>248</v>
      </c>
      <c r="C3" s="825">
        <v>248791.61321000001</v>
      </c>
      <c r="D3" s="825">
        <v>0</v>
      </c>
      <c r="E3" s="208">
        <f>C3-D3</f>
        <v>248791.61321000001</v>
      </c>
      <c r="F3" s="207" t="e">
        <f>(E3/D3)*100</f>
        <v>#DIV/0!</v>
      </c>
      <c r="H3" s="616"/>
      <c r="I3" t="s">
        <v>681</v>
      </c>
    </row>
    <row r="5" spans="1:11" x14ac:dyDescent="0.25">
      <c r="C5" s="673">
        <v>1098005.3600000001</v>
      </c>
    </row>
    <row r="6" spans="1:11" x14ac:dyDescent="0.25">
      <c r="C6" s="181" t="s">
        <v>20</v>
      </c>
    </row>
    <row r="7" spans="1:11" x14ac:dyDescent="0.25">
      <c r="C7" s="181">
        <f>C3+C5</f>
        <v>1346796.9732100002</v>
      </c>
    </row>
    <row r="14" spans="1:11" ht="15.75" thickBot="1" x14ac:dyDescent="0.3">
      <c r="A14" t="s">
        <v>673</v>
      </c>
    </row>
    <row r="15" spans="1:11" ht="26.25" thickBot="1" x14ac:dyDescent="0.3">
      <c r="A15" s="98" t="s">
        <v>28</v>
      </c>
      <c r="B15" s="98" t="s">
        <v>44</v>
      </c>
      <c r="C15" s="99" t="s">
        <v>76</v>
      </c>
      <c r="D15" s="99" t="s">
        <v>77</v>
      </c>
      <c r="E15" s="99" t="s">
        <v>26</v>
      </c>
      <c r="F15" s="99" t="s">
        <v>25</v>
      </c>
      <c r="H15" s="1062" t="s">
        <v>702</v>
      </c>
      <c r="I15" s="1063" t="s">
        <v>264</v>
      </c>
      <c r="J15" s="1063" t="s">
        <v>265</v>
      </c>
      <c r="K15" s="1063" t="s">
        <v>703</v>
      </c>
    </row>
    <row r="16" spans="1:11" ht="15.75" thickBot="1" x14ac:dyDescent="0.3">
      <c r="A16" s="204"/>
      <c r="B16" s="206" t="s">
        <v>672</v>
      </c>
      <c r="C16" s="825">
        <v>1584628.8905199999</v>
      </c>
      <c r="D16" s="825">
        <v>1319224.0705100002</v>
      </c>
      <c r="E16" s="208">
        <f>C16-D16</f>
        <v>265404.82000999968</v>
      </c>
      <c r="F16" s="207">
        <f>(E16/D16)*100</f>
        <v>20.118251777152349</v>
      </c>
      <c r="G16" t="s">
        <v>688</v>
      </c>
      <c r="H16" s="1064" t="s">
        <v>704</v>
      </c>
      <c r="I16" s="1065">
        <v>255415.75</v>
      </c>
      <c r="J16" s="1066"/>
      <c r="K16" s="1066" t="s">
        <v>705</v>
      </c>
    </row>
    <row r="17" spans="1:11" ht="15.75" thickBot="1" x14ac:dyDescent="0.3">
      <c r="H17" s="1064" t="s">
        <v>704</v>
      </c>
      <c r="I17" s="1066"/>
      <c r="J17" s="1067" t="s">
        <v>706</v>
      </c>
      <c r="K17" s="1066" t="s">
        <v>707</v>
      </c>
    </row>
    <row r="20" spans="1:11" x14ac:dyDescent="0.25">
      <c r="A20" t="s">
        <v>674</v>
      </c>
    </row>
    <row r="21" spans="1:11" ht="26.25" thickBot="1" x14ac:dyDescent="0.3">
      <c r="B21" s="98" t="s">
        <v>44</v>
      </c>
      <c r="C21" s="99" t="s">
        <v>76</v>
      </c>
      <c r="D21" s="99" t="s">
        <v>77</v>
      </c>
      <c r="E21" s="99" t="s">
        <v>26</v>
      </c>
      <c r="F21" s="99" t="s">
        <v>25</v>
      </c>
    </row>
    <row r="22" spans="1:11" ht="15.75" thickBot="1" x14ac:dyDescent="0.3">
      <c r="B22" s="206" t="s">
        <v>675</v>
      </c>
      <c r="C22" s="939">
        <v>1086449.5356099997</v>
      </c>
      <c r="D22" s="825">
        <v>274347.37</v>
      </c>
      <c r="E22" s="208">
        <f>C22-D22</f>
        <v>812102.16560999968</v>
      </c>
      <c r="F22" s="207">
        <f>(E22/D22)*100</f>
        <v>296.0123749719196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topLeftCell="A16" workbookViewId="0">
      <selection activeCell="B2" sqref="B2:G9"/>
    </sheetView>
  </sheetViews>
  <sheetFormatPr baseColWidth="10" defaultColWidth="9.140625" defaultRowHeight="15" x14ac:dyDescent="0.25"/>
  <cols>
    <col min="1" max="1" width="1.28515625" customWidth="1"/>
    <col min="2" max="2" width="7.140625" customWidth="1"/>
    <col min="3" max="3" width="31.7109375" customWidth="1"/>
    <col min="4" max="4" width="12.85546875" customWidth="1"/>
    <col min="5" max="6" width="11.28515625" bestFit="1" customWidth="1"/>
    <col min="7" max="7" width="7.140625" bestFit="1" customWidth="1"/>
    <col min="8" max="8" width="14.28515625" customWidth="1"/>
    <col min="9" max="9" width="15.28515625" customWidth="1"/>
  </cols>
  <sheetData>
    <row r="1" spans="2:10" ht="15.75" thickBot="1" x14ac:dyDescent="0.3"/>
    <row r="2" spans="2:10" ht="27.75" thickBot="1" x14ac:dyDescent="0.3">
      <c r="B2" s="16" t="s">
        <v>28</v>
      </c>
      <c r="C2" s="16" t="s">
        <v>29</v>
      </c>
      <c r="D2" s="16" t="s">
        <v>0</v>
      </c>
      <c r="E2" s="16" t="s">
        <v>1</v>
      </c>
      <c r="F2" s="16" t="s">
        <v>30</v>
      </c>
      <c r="G2" s="16" t="s">
        <v>2</v>
      </c>
      <c r="I2" s="616"/>
    </row>
    <row r="3" spans="2:10" ht="15.75" thickBot="1" x14ac:dyDescent="0.3">
      <c r="B3" s="266" t="s">
        <v>31</v>
      </c>
      <c r="C3" s="267" t="s">
        <v>205</v>
      </c>
      <c r="D3" s="279">
        <v>560327.12548000005</v>
      </c>
      <c r="E3" s="279">
        <v>582392.06133000006</v>
      </c>
      <c r="F3" s="279">
        <f>D3-E3</f>
        <v>-22064.935850000009</v>
      </c>
      <c r="G3" s="268">
        <f>F3/E3</f>
        <v>-3.7886738702465561E-2</v>
      </c>
    </row>
    <row r="4" spans="2:10" ht="15.75" thickBot="1" x14ac:dyDescent="0.3">
      <c r="B4" s="269" t="s">
        <v>32</v>
      </c>
      <c r="C4" s="265" t="s">
        <v>206</v>
      </c>
      <c r="D4" s="279">
        <v>362770.75757000002</v>
      </c>
      <c r="E4" s="279">
        <v>228378.03074000002</v>
      </c>
      <c r="F4" s="279">
        <f>D4-E4</f>
        <v>134392.72683</v>
      </c>
      <c r="G4" s="270">
        <f>F4/E4</f>
        <v>0.58846609016872198</v>
      </c>
      <c r="H4" s="922" t="s">
        <v>681</v>
      </c>
    </row>
    <row r="5" spans="2:10" ht="15.75" thickBot="1" x14ac:dyDescent="0.3">
      <c r="B5" s="269" t="s">
        <v>33</v>
      </c>
      <c r="C5" s="265" t="s">
        <v>207</v>
      </c>
      <c r="D5" s="279">
        <v>1279897.8924100001</v>
      </c>
      <c r="E5" s="279">
        <v>976164.95152</v>
      </c>
      <c r="F5" s="279">
        <f>D5-E5</f>
        <v>303732.94089000009</v>
      </c>
      <c r="G5" s="270">
        <f>F5/E5</f>
        <v>0.31114919708708383</v>
      </c>
    </row>
    <row r="6" spans="2:10" ht="15.75" thickBot="1" x14ac:dyDescent="0.3">
      <c r="B6" s="269" t="s">
        <v>34</v>
      </c>
      <c r="C6" s="265" t="s">
        <v>208</v>
      </c>
      <c r="D6" s="279">
        <v>8998.6691599999995</v>
      </c>
      <c r="E6" s="279">
        <v>2982.9027999999998</v>
      </c>
      <c r="F6" s="279">
        <f>D6-E6</f>
        <v>6015.7663599999996</v>
      </c>
      <c r="G6" s="270">
        <f>F6/E6</f>
        <v>2.0167490405654518</v>
      </c>
    </row>
    <row r="7" spans="2:10" ht="15.75" thickBot="1" x14ac:dyDescent="0.3">
      <c r="B7" s="983" t="s">
        <v>35</v>
      </c>
      <c r="C7" s="984" t="s">
        <v>35</v>
      </c>
      <c r="D7" s="316">
        <f>SUM(D3:D6)</f>
        <v>2211994.4446200002</v>
      </c>
      <c r="E7" s="317">
        <f>SUM(E3:E6)</f>
        <v>1789917.9463899999</v>
      </c>
      <c r="F7" s="318">
        <f>SUM(F3:F6)</f>
        <v>422076.49823000008</v>
      </c>
      <c r="G7" s="17">
        <f>F7/E7</f>
        <v>0.23580773581340198</v>
      </c>
    </row>
    <row r="8" spans="2:10" ht="26.25" thickBot="1" x14ac:dyDescent="0.3">
      <c r="B8" s="271" t="s">
        <v>36</v>
      </c>
      <c r="C8" s="272" t="s">
        <v>37</v>
      </c>
      <c r="D8" s="314">
        <v>-175377.89736999999</v>
      </c>
      <c r="E8" s="314">
        <v>-175377.89736999999</v>
      </c>
      <c r="F8" s="315">
        <f>D8-E8</f>
        <v>0</v>
      </c>
      <c r="G8" s="273">
        <v>0</v>
      </c>
    </row>
    <row r="9" spans="2:10" ht="15.75" thickBot="1" x14ac:dyDescent="0.3">
      <c r="B9" s="985" t="s">
        <v>10</v>
      </c>
      <c r="C9" s="986"/>
      <c r="D9" s="316">
        <f>D7+D8</f>
        <v>2036616.5472500003</v>
      </c>
      <c r="E9" s="317">
        <f>E7+E8</f>
        <v>1614540.04902</v>
      </c>
      <c r="F9" s="318">
        <f>F7+F8</f>
        <v>422076.49823000008</v>
      </c>
      <c r="G9" s="17">
        <f>F9/E9</f>
        <v>0.2614221297800533</v>
      </c>
    </row>
    <row r="10" spans="2:10" x14ac:dyDescent="0.25">
      <c r="F10" t="s">
        <v>20</v>
      </c>
    </row>
    <row r="11" spans="2:10" ht="15.75" thickBot="1" x14ac:dyDescent="0.3">
      <c r="D11" s="4" t="s">
        <v>20</v>
      </c>
      <c r="E11" s="4" t="s">
        <v>20</v>
      </c>
      <c r="F11" s="4" t="s">
        <v>20</v>
      </c>
    </row>
    <row r="12" spans="2:10" ht="41.25" thickBot="1" x14ac:dyDescent="0.3">
      <c r="B12" s="127" t="s">
        <v>39</v>
      </c>
      <c r="C12" s="16" t="s">
        <v>135</v>
      </c>
      <c r="D12" s="16" t="s">
        <v>0</v>
      </c>
      <c r="E12" s="16" t="s">
        <v>1</v>
      </c>
      <c r="F12" s="16" t="s">
        <v>30</v>
      </c>
      <c r="G12" s="16" t="s">
        <v>2</v>
      </c>
    </row>
    <row r="13" spans="2:10" ht="15.75" thickBot="1" x14ac:dyDescent="0.3">
      <c r="B13" s="65">
        <v>11203</v>
      </c>
      <c r="C13" s="63" t="s">
        <v>591</v>
      </c>
      <c r="D13" s="819">
        <v>6902.7662499999997</v>
      </c>
      <c r="E13" s="319"/>
      <c r="F13" s="320">
        <f>D13-E13</f>
        <v>6902.7662499999997</v>
      </c>
      <c r="G13" s="217" t="e">
        <f>F13/E13</f>
        <v>#DIV/0!</v>
      </c>
    </row>
    <row r="14" spans="2:10" x14ac:dyDescent="0.25">
      <c r="B14" s="65">
        <v>11206</v>
      </c>
      <c r="C14" s="63" t="s">
        <v>38</v>
      </c>
      <c r="D14" s="820">
        <v>1272400.09879</v>
      </c>
      <c r="E14" s="573">
        <v>973046.57770000002</v>
      </c>
      <c r="F14" s="573">
        <f>D14-E14</f>
        <v>299353.52108999994</v>
      </c>
      <c r="G14" s="217">
        <f>F14/E14</f>
        <v>0.30764562349891295</v>
      </c>
      <c r="H14" s="922" t="s">
        <v>681</v>
      </c>
    </row>
    <row r="15" spans="2:10" ht="25.5" hidden="1" x14ac:dyDescent="0.25">
      <c r="B15" s="571">
        <v>12583</v>
      </c>
      <c r="C15" s="572" t="s">
        <v>592</v>
      </c>
      <c r="D15" s="574"/>
      <c r="E15" s="574">
        <v>0</v>
      </c>
      <c r="F15" s="573">
        <f>D15-E15</f>
        <v>0</v>
      </c>
      <c r="G15" s="217" t="e">
        <f>F15/E15</f>
        <v>#DIV/0!</v>
      </c>
    </row>
    <row r="16" spans="2:10" ht="26.25" thickBot="1" x14ac:dyDescent="0.3">
      <c r="B16" s="66">
        <v>14226</v>
      </c>
      <c r="C16" s="64" t="s">
        <v>40</v>
      </c>
      <c r="D16" s="821">
        <v>595.02737000000002</v>
      </c>
      <c r="E16" s="321">
        <v>3118.3738199999998</v>
      </c>
      <c r="F16" s="322">
        <f>D16-E16</f>
        <v>-2523.34645</v>
      </c>
      <c r="G16" s="323">
        <f>F16/E16</f>
        <v>-0.8091866452367793</v>
      </c>
      <c r="J16" s="849"/>
    </row>
    <row r="17" spans="2:7" ht="15.75" thickBot="1" x14ac:dyDescent="0.3">
      <c r="B17" s="983" t="s">
        <v>41</v>
      </c>
      <c r="C17" s="984"/>
      <c r="D17" s="324">
        <f>SUM(D13:D16)</f>
        <v>1279897.8924100001</v>
      </c>
      <c r="E17" s="324">
        <f>SUM(E13:E16)</f>
        <v>976164.95152</v>
      </c>
      <c r="F17" s="325">
        <f>SUM(F13:F16)</f>
        <v>303732.94088999991</v>
      </c>
      <c r="G17" s="326">
        <f>F17/E17</f>
        <v>0.31114919708708361</v>
      </c>
    </row>
    <row r="18" spans="2:7" ht="19.5" customHeight="1" x14ac:dyDescent="0.25"/>
  </sheetData>
  <protectedRanges>
    <protectedRange sqref="D13:D15" name="Rango1_3"/>
  </protectedRanges>
  <mergeCells count="3">
    <mergeCell ref="B17:C17"/>
    <mergeCell ref="B9:C9"/>
    <mergeCell ref="B7:C7"/>
  </mergeCells>
  <pageMargins left="0.7" right="0.7" top="0.75" bottom="0.75" header="0.3" footer="0.3"/>
  <pageSetup orientation="portrait" r:id="rId1"/>
  <ignoredErrors>
    <ignoredError sqref="E7" formula="1"/>
    <ignoredError sqref="G13 G15" evalError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J7" sqref="J7"/>
    </sheetView>
  </sheetViews>
  <sheetFormatPr baseColWidth="10" defaultColWidth="9.140625" defaultRowHeight="15" x14ac:dyDescent="0.25"/>
  <cols>
    <col min="1" max="1" width="6.7109375" bestFit="1" customWidth="1"/>
    <col min="2" max="2" width="17.42578125" bestFit="1" customWidth="1"/>
    <col min="3" max="3" width="10.42578125" customWidth="1"/>
    <col min="4" max="4" width="12.140625" bestFit="1" customWidth="1"/>
    <col min="5" max="5" width="12.140625" customWidth="1"/>
  </cols>
  <sheetData>
    <row r="1" spans="1:8" ht="15.75" thickBot="1" x14ac:dyDescent="0.3"/>
    <row r="2" spans="1:8" s="201" customFormat="1" ht="26.25" thickBot="1" x14ac:dyDescent="0.3">
      <c r="A2" s="237" t="s">
        <v>28</v>
      </c>
      <c r="B2" s="184" t="s">
        <v>44</v>
      </c>
      <c r="C2" s="184" t="s">
        <v>76</v>
      </c>
      <c r="D2" s="184" t="s">
        <v>77</v>
      </c>
      <c r="E2" s="184" t="s">
        <v>26</v>
      </c>
      <c r="F2" s="185" t="s">
        <v>25</v>
      </c>
    </row>
    <row r="3" spans="1:8" x14ac:dyDescent="0.25">
      <c r="A3" s="104" t="s">
        <v>201</v>
      </c>
      <c r="B3" s="106" t="s">
        <v>202</v>
      </c>
      <c r="C3" s="143">
        <v>58294.195039999999</v>
      </c>
      <c r="D3" s="826">
        <v>65172.969859999997</v>
      </c>
      <c r="E3" s="144">
        <f>C3-D3</f>
        <v>-6878.7748199999987</v>
      </c>
      <c r="F3" s="108">
        <f>E3/D3</f>
        <v>-0.10554643796003926</v>
      </c>
    </row>
    <row r="4" spans="1:8" ht="26.25" thickBot="1" x14ac:dyDescent="0.3">
      <c r="A4" s="105" t="s">
        <v>203</v>
      </c>
      <c r="B4" s="107" t="s">
        <v>204</v>
      </c>
      <c r="C4" s="95"/>
      <c r="D4" s="827">
        <v>840948.33766999992</v>
      </c>
      <c r="E4" s="95">
        <f>C4-D4</f>
        <v>-840948.33766999992</v>
      </c>
      <c r="F4" s="109">
        <f>E4/D4</f>
        <v>-1</v>
      </c>
    </row>
    <row r="5" spans="1:8" ht="17.25" thickBot="1" x14ac:dyDescent="0.35">
      <c r="A5" s="116"/>
      <c r="B5" s="101" t="s">
        <v>10</v>
      </c>
      <c r="C5" s="117">
        <f>SUM(C3:C4)</f>
        <v>58294.195039999999</v>
      </c>
      <c r="D5" s="117">
        <f>SUM(D3:D4)</f>
        <v>906121.30752999987</v>
      </c>
      <c r="E5" s="102">
        <f>SUM(E3:E4)</f>
        <v>-847827.11248999997</v>
      </c>
      <c r="F5" s="103">
        <f>E5/D5</f>
        <v>-0.93566623524293413</v>
      </c>
    </row>
    <row r="8" spans="1:8" s="201" customFormat="1" ht="25.5" x14ac:dyDescent="0.25">
      <c r="A8" s="99" t="s">
        <v>28</v>
      </c>
      <c r="B8" s="99" t="s">
        <v>44</v>
      </c>
      <c r="C8" s="99" t="s">
        <v>76</v>
      </c>
      <c r="D8" s="99" t="s">
        <v>77</v>
      </c>
      <c r="E8" s="99" t="s">
        <v>26</v>
      </c>
      <c r="F8" s="99" t="s">
        <v>25</v>
      </c>
    </row>
    <row r="9" spans="1:8" ht="26.25" thickBot="1" x14ac:dyDescent="0.3">
      <c r="A9" s="105" t="s">
        <v>203</v>
      </c>
      <c r="B9" s="107" t="s">
        <v>204</v>
      </c>
      <c r="C9" s="95"/>
      <c r="D9" s="95">
        <v>840948.33766999992</v>
      </c>
      <c r="E9" s="95">
        <f>C9-D9</f>
        <v>-840948.33766999992</v>
      </c>
      <c r="F9" s="109">
        <f>E9/D9</f>
        <v>-1</v>
      </c>
      <c r="H9" t="s">
        <v>681</v>
      </c>
    </row>
    <row r="10" spans="1:8" ht="15.75" thickBot="1" x14ac:dyDescent="0.3"/>
    <row r="11" spans="1:8" ht="26.25" thickBot="1" x14ac:dyDescent="0.3">
      <c r="A11" s="237" t="s">
        <v>28</v>
      </c>
      <c r="B11" s="184" t="s">
        <v>44</v>
      </c>
      <c r="C11" s="184" t="s">
        <v>76</v>
      </c>
      <c r="D11" s="184" t="s">
        <v>77</v>
      </c>
      <c r="E11" s="184" t="s">
        <v>26</v>
      </c>
      <c r="F11" s="185" t="s">
        <v>25</v>
      </c>
    </row>
    <row r="12" spans="1:8" ht="39" thickBot="1" x14ac:dyDescent="0.3">
      <c r="A12" s="402" t="s">
        <v>343</v>
      </c>
      <c r="B12" s="403" t="s">
        <v>344</v>
      </c>
      <c r="C12" s="404"/>
      <c r="D12" s="404">
        <v>0</v>
      </c>
      <c r="E12" s="404">
        <f>C12-D12</f>
        <v>0</v>
      </c>
      <c r="F12" s="401" t="e">
        <f>E12/D12</f>
        <v>#DIV/0!</v>
      </c>
    </row>
  </sheetData>
  <protectedRanges>
    <protectedRange sqref="D3" name="Rango1_1_1"/>
    <protectedRange algorithmName="SHA-512" hashValue="4imO1TOU3cbM4njnGQpo2A016bqfFEMHSq5Knl4GNxLuvTpHkGJ0RUYf0RBqSdnPipbD1waJKWMemv+OgBLNFg==" saltValue="Wt8Jl9bJBJjtqjlRs2YXDg==" spinCount="100000" sqref="G12:I12 C12:E12" name="Rango1"/>
  </protectedRange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3"/>
  <sheetViews>
    <sheetView zoomScaleNormal="100" workbookViewId="0">
      <selection activeCell="R30" sqref="R30"/>
    </sheetView>
  </sheetViews>
  <sheetFormatPr baseColWidth="10" defaultColWidth="9.140625" defaultRowHeight="15" x14ac:dyDescent="0.25"/>
  <cols>
    <col min="1" max="1" width="16.42578125" bestFit="1" customWidth="1"/>
    <col min="2" max="2" width="46.5703125" customWidth="1"/>
    <col min="3" max="3" width="16" customWidth="1"/>
    <col min="4" max="4" width="15.42578125" customWidth="1"/>
    <col min="5" max="5" width="13.85546875" customWidth="1"/>
    <col min="6" max="6" width="11.140625" customWidth="1"/>
    <col min="7" max="7" width="16.42578125" customWidth="1"/>
    <col min="8" max="8" width="12.7109375" customWidth="1"/>
    <col min="9" max="9" width="12.42578125" customWidth="1"/>
    <col min="10" max="11" width="12.28515625" customWidth="1"/>
    <col min="12" max="12" width="11.28515625" customWidth="1"/>
    <col min="13" max="13" width="11.7109375" customWidth="1"/>
    <col min="14" max="14" width="11.140625" customWidth="1"/>
    <col min="15" max="15" width="9.85546875" customWidth="1"/>
    <col min="16" max="16" width="12.28515625" customWidth="1"/>
    <col min="17" max="17" width="13.85546875" customWidth="1"/>
    <col min="18" max="18" width="11.140625" bestFit="1" customWidth="1"/>
  </cols>
  <sheetData>
    <row r="2" spans="1:17" ht="26.45" customHeight="1" thickBot="1" x14ac:dyDescent="0.3">
      <c r="A2" s="98" t="s">
        <v>28</v>
      </c>
      <c r="B2" s="98" t="s">
        <v>44</v>
      </c>
      <c r="C2" s="99" t="s">
        <v>76</v>
      </c>
      <c r="D2" s="99" t="s">
        <v>77</v>
      </c>
      <c r="E2" s="99" t="s">
        <v>26</v>
      </c>
      <c r="F2" s="99" t="s">
        <v>25</v>
      </c>
    </row>
    <row r="3" spans="1:17" ht="30.75" thickBot="1" x14ac:dyDescent="0.3">
      <c r="A3" s="204" t="s">
        <v>249</v>
      </c>
      <c r="B3" s="201" t="s">
        <v>701</v>
      </c>
      <c r="C3" s="847">
        <v>1335837.27731</v>
      </c>
      <c r="D3" s="847">
        <v>1319224.07051</v>
      </c>
      <c r="E3" s="208">
        <f>C3-D3</f>
        <v>16613.206800000044</v>
      </c>
      <c r="F3" s="263">
        <f t="shared" ref="F3" si="0">E3/D3</f>
        <v>1.2593165309345462E-2</v>
      </c>
      <c r="G3" s="850" t="s">
        <v>681</v>
      </c>
      <c r="J3" s="616"/>
    </row>
    <row r="5" spans="1:17" ht="15.75" thickBot="1" x14ac:dyDescent="0.3">
      <c r="C5" t="s">
        <v>20</v>
      </c>
    </row>
    <row r="6" spans="1:17" ht="15" customHeight="1" thickBot="1" x14ac:dyDescent="0.3">
      <c r="C6" s="342"/>
      <c r="G6" s="1052" t="s">
        <v>260</v>
      </c>
      <c r="H6" s="1055" t="s">
        <v>261</v>
      </c>
      <c r="I6" s="1056"/>
      <c r="J6" s="1057"/>
      <c r="K6" s="433"/>
      <c r="L6" s="1047" t="s">
        <v>262</v>
      </c>
      <c r="M6" s="1048"/>
      <c r="N6" s="1049" t="s">
        <v>274</v>
      </c>
      <c r="O6" s="1049" t="s">
        <v>273</v>
      </c>
      <c r="P6" s="1049" t="s">
        <v>263</v>
      </c>
    </row>
    <row r="7" spans="1:17" ht="15.75" thickBot="1" x14ac:dyDescent="0.3">
      <c r="B7" t="s">
        <v>327</v>
      </c>
      <c r="C7" s="342">
        <v>1522346580.0899994</v>
      </c>
      <c r="G7" s="1053"/>
      <c r="H7" s="1058"/>
      <c r="I7" s="1059"/>
      <c r="J7" s="1060"/>
      <c r="K7" s="434"/>
      <c r="L7" s="345" t="s">
        <v>264</v>
      </c>
      <c r="M7" s="345" t="s">
        <v>265</v>
      </c>
      <c r="N7" s="1050"/>
      <c r="O7" s="1050"/>
      <c r="P7" s="1050"/>
    </row>
    <row r="8" spans="1:17" ht="32.1" customHeight="1" thickBot="1" x14ac:dyDescent="0.3">
      <c r="C8" s="343"/>
      <c r="G8" s="1054"/>
      <c r="H8" s="346" t="s">
        <v>270</v>
      </c>
      <c r="I8" s="346" t="s">
        <v>266</v>
      </c>
      <c r="J8" s="347" t="s">
        <v>271</v>
      </c>
      <c r="K8" s="347" t="s">
        <v>590</v>
      </c>
      <c r="L8" s="346" t="s">
        <v>272</v>
      </c>
      <c r="M8" s="346" t="s">
        <v>267</v>
      </c>
      <c r="N8" s="1051"/>
      <c r="O8" s="1051"/>
      <c r="P8" s="1051"/>
      <c r="Q8" s="850" t="s">
        <v>688</v>
      </c>
    </row>
    <row r="9" spans="1:17" x14ac:dyDescent="0.25">
      <c r="B9" t="s">
        <v>328</v>
      </c>
      <c r="C9" s="343">
        <v>191813240.97999999</v>
      </c>
      <c r="D9" s="343"/>
      <c r="G9" s="348" t="s">
        <v>268</v>
      </c>
      <c r="H9" s="349"/>
      <c r="I9" s="349"/>
      <c r="J9" s="349"/>
      <c r="K9" s="349"/>
      <c r="L9" s="349"/>
      <c r="M9" s="349"/>
      <c r="N9" s="349"/>
      <c r="O9" s="349"/>
      <c r="P9" s="350"/>
    </row>
    <row r="10" spans="1:17" ht="15.75" thickBot="1" x14ac:dyDescent="0.3">
      <c r="B10" t="s">
        <v>667</v>
      </c>
      <c r="C10" s="683">
        <v>63602511.759999998</v>
      </c>
      <c r="F10" t="s">
        <v>20</v>
      </c>
      <c r="G10" s="351" t="s">
        <v>269</v>
      </c>
      <c r="H10" s="352">
        <v>3563088.5</v>
      </c>
      <c r="I10" s="353">
        <v>2453135.0699999998</v>
      </c>
      <c r="J10" s="352">
        <v>1522925.8798600002</v>
      </c>
      <c r="K10" s="352">
        <v>-579.29846999980498</v>
      </c>
      <c r="L10" s="352">
        <v>493247.66722</v>
      </c>
      <c r="M10" s="353">
        <v>430965.35678999999</v>
      </c>
      <c r="N10" s="353">
        <v>107152.32410999999</v>
      </c>
      <c r="O10" s="352">
        <v>17815.442899999998</v>
      </c>
      <c r="P10" s="354">
        <f>J10+K10+L10-M10</f>
        <v>1584628.8918200005</v>
      </c>
    </row>
    <row r="11" spans="1:17" x14ac:dyDescent="0.25">
      <c r="B11" t="s">
        <v>670</v>
      </c>
      <c r="C11" s="683">
        <v>-81257924.290000007</v>
      </c>
      <c r="G11" s="429"/>
      <c r="H11" s="430"/>
      <c r="I11" s="431"/>
      <c r="J11" s="430"/>
      <c r="K11" s="430"/>
      <c r="L11" s="430"/>
      <c r="M11" s="431"/>
      <c r="N11" s="431"/>
      <c r="O11" s="430"/>
      <c r="P11" s="431"/>
    </row>
    <row r="12" spans="1:17" x14ac:dyDescent="0.25">
      <c r="B12" t="s">
        <v>669</v>
      </c>
      <c r="C12" s="683">
        <v>-112952446.08</v>
      </c>
      <c r="G12" s="429"/>
      <c r="H12" s="430"/>
      <c r="I12" s="431"/>
      <c r="J12" s="430"/>
      <c r="K12" s="430"/>
      <c r="L12" s="430"/>
      <c r="M12" s="431"/>
      <c r="N12" s="431"/>
      <c r="O12" s="430"/>
      <c r="P12" s="431"/>
    </row>
    <row r="13" spans="1:17" x14ac:dyDescent="0.25">
      <c r="B13" t="s">
        <v>668</v>
      </c>
      <c r="C13" s="683">
        <v>-114483896.31999999</v>
      </c>
      <c r="G13" s="429"/>
      <c r="H13" s="430"/>
      <c r="I13" s="431"/>
      <c r="J13" s="430"/>
      <c r="K13" s="430"/>
      <c r="L13" s="430"/>
      <c r="M13" s="431"/>
      <c r="N13" s="431"/>
      <c r="O13" s="430"/>
      <c r="P13" s="431"/>
    </row>
    <row r="14" spans="1:17" ht="15.75" thickBot="1" x14ac:dyDescent="0.3">
      <c r="B14" t="s">
        <v>671</v>
      </c>
      <c r="C14" s="344">
        <f>+C7+C9+C10+C11+C12+C13</f>
        <v>1469068066.1399996</v>
      </c>
    </row>
    <row r="15" spans="1:17" x14ac:dyDescent="0.25">
      <c r="E15" t="s">
        <v>20</v>
      </c>
      <c r="F15" s="391"/>
      <c r="L15" s="4"/>
      <c r="P15" s="846"/>
    </row>
    <row r="16" spans="1:17" x14ac:dyDescent="0.25">
      <c r="C16" s="343"/>
      <c r="F16" s="392"/>
      <c r="I16" s="431"/>
    </row>
    <row r="17" spans="3:19" x14ac:dyDescent="0.25">
      <c r="C17" s="343"/>
      <c r="D17" s="181" t="s">
        <v>20</v>
      </c>
      <c r="F17" s="392"/>
      <c r="G17" t="s">
        <v>20</v>
      </c>
      <c r="L17" s="331"/>
      <c r="P17" s="331"/>
    </row>
    <row r="18" spans="3:19" x14ac:dyDescent="0.25">
      <c r="C18" s="342"/>
      <c r="F18" s="392"/>
      <c r="I18" s="394"/>
      <c r="P18" s="331"/>
    </row>
    <row r="19" spans="3:19" x14ac:dyDescent="0.25">
      <c r="F19" s="392"/>
      <c r="I19" s="394"/>
    </row>
    <row r="20" spans="3:19" x14ac:dyDescent="0.25">
      <c r="C20" s="342"/>
      <c r="F20" s="392"/>
      <c r="I20" s="394"/>
    </row>
    <row r="21" spans="3:19" x14ac:dyDescent="0.25">
      <c r="C21" s="342"/>
      <c r="F21" s="392"/>
      <c r="I21" s="394"/>
    </row>
    <row r="22" spans="3:19" ht="15.75" thickBot="1" x14ac:dyDescent="0.3">
      <c r="C22" s="342"/>
      <c r="F22" s="392"/>
      <c r="G22" s="432" t="s">
        <v>353</v>
      </c>
      <c r="I22" s="394"/>
    </row>
    <row r="23" spans="3:19" ht="21.6" customHeight="1" thickBot="1" x14ac:dyDescent="0.3">
      <c r="F23" s="392"/>
      <c r="G23" s="1052" t="s">
        <v>260</v>
      </c>
      <c r="H23" s="1049" t="s">
        <v>270</v>
      </c>
      <c r="I23" s="1047" t="s">
        <v>266</v>
      </c>
      <c r="J23" s="1061"/>
      <c r="K23" s="1061"/>
      <c r="L23" s="1048"/>
      <c r="M23" s="1047" t="s">
        <v>348</v>
      </c>
      <c r="N23" s="1061"/>
      <c r="O23" s="1048"/>
      <c r="P23" s="1047" t="s">
        <v>349</v>
      </c>
      <c r="Q23" s="1061"/>
      <c r="R23" s="1048"/>
    </row>
    <row r="24" spans="3:19" ht="15.75" thickBot="1" x14ac:dyDescent="0.3">
      <c r="C24" s="683"/>
      <c r="F24" s="393"/>
      <c r="G24" s="1054"/>
      <c r="H24" s="1051"/>
      <c r="I24" s="406" t="s">
        <v>345</v>
      </c>
      <c r="J24" s="406" t="s">
        <v>346</v>
      </c>
      <c r="K24" s="412"/>
      <c r="L24" s="412" t="s">
        <v>347</v>
      </c>
      <c r="M24" s="406" t="s">
        <v>345</v>
      </c>
      <c r="N24" s="406" t="s">
        <v>346</v>
      </c>
      <c r="O24" s="412" t="s">
        <v>347</v>
      </c>
      <c r="P24" s="406" t="s">
        <v>345</v>
      </c>
      <c r="Q24" s="406" t="s">
        <v>346</v>
      </c>
      <c r="R24" s="412" t="s">
        <v>347</v>
      </c>
    </row>
    <row r="25" spans="3:19" ht="15.75" thickBot="1" x14ac:dyDescent="0.3">
      <c r="C25" s="331"/>
      <c r="G25" s="408" t="s">
        <v>268</v>
      </c>
      <c r="H25" s="116"/>
      <c r="I25" s="407"/>
      <c r="J25" s="407"/>
      <c r="K25" s="407"/>
      <c r="L25" s="407"/>
      <c r="M25" s="413"/>
      <c r="N25" s="414"/>
      <c r="O25" s="415"/>
      <c r="P25" s="29"/>
      <c r="Q25" s="416"/>
      <c r="R25" s="417"/>
      <c r="S25" t="s">
        <v>688</v>
      </c>
    </row>
    <row r="26" spans="3:19" ht="15.75" thickBot="1" x14ac:dyDescent="0.3">
      <c r="G26" s="418" t="s">
        <v>269</v>
      </c>
      <c r="H26" s="419">
        <v>3563088495.48</v>
      </c>
      <c r="I26" s="409">
        <v>2389532554.0999994</v>
      </c>
      <c r="J26" s="409">
        <v>2389532553.6799998</v>
      </c>
      <c r="K26" s="559"/>
      <c r="L26" s="420">
        <f>I26-J26</f>
        <v>0.41999959945678711</v>
      </c>
      <c r="M26" s="421">
        <v>756051358.94000006</v>
      </c>
      <c r="N26" s="410">
        <v>756630656.89999998</v>
      </c>
      <c r="O26" s="411">
        <f>M26-N26</f>
        <v>-579297.95999991894</v>
      </c>
      <c r="P26" s="422">
        <v>1633481195.1599996</v>
      </c>
      <c r="Q26" s="409">
        <v>1632901896.78</v>
      </c>
      <c r="R26" s="411">
        <f>P26-Q26</f>
        <v>579298.3799996376</v>
      </c>
    </row>
    <row r="27" spans="3:19" x14ac:dyDescent="0.25">
      <c r="G27" s="429"/>
      <c r="H27" s="430"/>
      <c r="I27" s="431"/>
      <c r="J27" s="431"/>
      <c r="K27" s="431"/>
      <c r="L27" s="431"/>
      <c r="M27" s="405"/>
      <c r="N27" s="405"/>
      <c r="O27" s="405"/>
      <c r="P27" s="431"/>
      <c r="Q27" s="431"/>
      <c r="R27" s="405"/>
    </row>
    <row r="28" spans="3:19" x14ac:dyDescent="0.25">
      <c r="G28" s="429"/>
      <c r="H28" s="430"/>
      <c r="I28" s="431"/>
      <c r="J28" s="431"/>
      <c r="K28" s="431"/>
      <c r="L28" s="431"/>
      <c r="M28" s="405"/>
      <c r="N28" s="405"/>
      <c r="O28" s="405"/>
      <c r="P28" s="431"/>
      <c r="Q28" s="431"/>
      <c r="R28" s="405"/>
    </row>
    <row r="29" spans="3:19" ht="15.75" thickBot="1" x14ac:dyDescent="0.3">
      <c r="G29" s="432" t="s">
        <v>354</v>
      </c>
      <c r="R29" s="331" t="s">
        <v>20</v>
      </c>
    </row>
    <row r="30" spans="3:19" ht="15.75" thickBot="1" x14ac:dyDescent="0.3">
      <c r="G30" s="848" t="s">
        <v>352</v>
      </c>
      <c r="H30" s="855" t="s">
        <v>676</v>
      </c>
      <c r="I30" s="856" t="s">
        <v>677</v>
      </c>
      <c r="J30" s="857" t="s">
        <v>347</v>
      </c>
      <c r="K30" s="851"/>
    </row>
    <row r="31" spans="3:19" x14ac:dyDescent="0.25">
      <c r="G31" s="853" t="s">
        <v>350</v>
      </c>
      <c r="H31" s="854">
        <f>+M10</f>
        <v>430965.35678999999</v>
      </c>
      <c r="I31" s="940">
        <v>323377.02013999998</v>
      </c>
      <c r="J31" s="852">
        <f>H31-I31</f>
        <v>107588.33665000001</v>
      </c>
      <c r="K31" s="942" t="s">
        <v>688</v>
      </c>
    </row>
    <row r="32" spans="3:19" ht="15.75" thickBot="1" x14ac:dyDescent="0.3">
      <c r="G32" s="426" t="s">
        <v>351</v>
      </c>
      <c r="H32" s="427">
        <f>+N10</f>
        <v>107152.32410999999</v>
      </c>
      <c r="I32" s="941">
        <v>106997.67368000001</v>
      </c>
      <c r="J32" s="428">
        <f>H32-I32</f>
        <v>154.65042999997968</v>
      </c>
      <c r="K32" s="54"/>
    </row>
    <row r="33" spans="7:11" ht="15.75" thickBot="1" x14ac:dyDescent="0.3">
      <c r="G33" s="423"/>
      <c r="H33" s="424">
        <f>SUM(H31:H32)</f>
        <v>538117.68090000004</v>
      </c>
      <c r="I33" s="424">
        <f t="shared" ref="I33:J33" si="1">SUM(I31:I32)</f>
        <v>430374.69381999999</v>
      </c>
      <c r="J33" s="425">
        <f t="shared" si="1"/>
        <v>107742.98707999999</v>
      </c>
      <c r="K33" s="18"/>
    </row>
  </sheetData>
  <protectedRanges>
    <protectedRange sqref="C9" name="Rango1_1_1_2"/>
    <protectedRange algorithmName="SHA-512" hashValue="eBHN9guQxdNiy9DHkJq72yNzZLuK91RTi1PEbTRAXmTfoqtxQ3H5gY6+xQyxvoGS/jvqHWRUPsvNDXBAuTiW8w==" saltValue="EUy7X08dS84XSa0eyzxBdg==" spinCount="100000" sqref="N10:N13" name="Rango1_3"/>
    <protectedRange sqref="M10:M13" name="Rango1_2_2"/>
    <protectedRange sqref="C8" name="Rango1"/>
    <protectedRange sqref="P15" name="Rango1_1"/>
    <protectedRange sqref="K10:K13" name="Rango1_2"/>
    <protectedRange sqref="L10:L13" name="Rango1_4"/>
    <protectedRange sqref="B3" name="Rango1_6"/>
  </protectedRanges>
  <mergeCells count="11">
    <mergeCell ref="P23:R23"/>
    <mergeCell ref="G23:G24"/>
    <mergeCell ref="H23:H24"/>
    <mergeCell ref="I23:L23"/>
    <mergeCell ref="M23:O23"/>
    <mergeCell ref="L6:M6"/>
    <mergeCell ref="N6:N8"/>
    <mergeCell ref="O6:O8"/>
    <mergeCell ref="P6:P8"/>
    <mergeCell ref="G6:G8"/>
    <mergeCell ref="H6:J7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"/>
  <sheetViews>
    <sheetView workbookViewId="0">
      <selection activeCell="C3" sqref="C3"/>
    </sheetView>
  </sheetViews>
  <sheetFormatPr baseColWidth="10" defaultColWidth="9.140625" defaultRowHeight="15" x14ac:dyDescent="0.25"/>
  <cols>
    <col min="2" max="2" width="32.42578125" bestFit="1" customWidth="1"/>
    <col min="5" max="5" width="10.42578125" customWidth="1"/>
  </cols>
  <sheetData>
    <row r="2" spans="1:8" ht="26.25" thickBot="1" x14ac:dyDescent="0.3">
      <c r="A2" s="98" t="s">
        <v>28</v>
      </c>
      <c r="B2" s="98" t="s">
        <v>44</v>
      </c>
      <c r="C2" s="99" t="s">
        <v>76</v>
      </c>
      <c r="D2" s="99" t="s">
        <v>77</v>
      </c>
      <c r="E2" s="99" t="s">
        <v>26</v>
      </c>
      <c r="F2" s="99" t="s">
        <v>25</v>
      </c>
    </row>
    <row r="3" spans="1:8" ht="26.25" thickBot="1" x14ac:dyDescent="0.3">
      <c r="A3" s="204" t="s">
        <v>250</v>
      </c>
      <c r="B3" s="206" t="s">
        <v>251</v>
      </c>
      <c r="C3" s="208">
        <v>59684.639999999999</v>
      </c>
      <c r="D3" s="847">
        <v>19522.349999999999</v>
      </c>
      <c r="E3" s="208">
        <f>C3-D3</f>
        <v>40162.29</v>
      </c>
      <c r="F3" s="207">
        <f>(E3/D3)*100</f>
        <v>205.72466941736013</v>
      </c>
      <c r="H3" s="6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"/>
  <sheetViews>
    <sheetView workbookViewId="0">
      <selection activeCell="D8" sqref="D8"/>
    </sheetView>
  </sheetViews>
  <sheetFormatPr baseColWidth="10" defaultColWidth="9.140625" defaultRowHeight="15" x14ac:dyDescent="0.25"/>
  <cols>
    <col min="2" max="2" width="4.42578125" bestFit="1" customWidth="1"/>
    <col min="3" max="3" width="12.85546875" customWidth="1"/>
    <col min="4" max="4" width="50.140625" customWidth="1"/>
    <col min="5" max="6" width="11.140625" bestFit="1" customWidth="1"/>
  </cols>
  <sheetData>
    <row r="1" spans="2:6" ht="15.75" thickBot="1" x14ac:dyDescent="0.3"/>
    <row r="2" spans="2:6" ht="24.75" thickBot="1" x14ac:dyDescent="0.3">
      <c r="B2" s="27" t="s">
        <v>42</v>
      </c>
      <c r="C2" s="27" t="s">
        <v>43</v>
      </c>
      <c r="D2" s="27" t="s">
        <v>44</v>
      </c>
      <c r="E2" s="27" t="s">
        <v>45</v>
      </c>
      <c r="F2" s="27" t="s">
        <v>46</v>
      </c>
    </row>
    <row r="3" spans="2:6" ht="24.75" thickBot="1" x14ac:dyDescent="0.3">
      <c r="B3" s="19" t="s">
        <v>47</v>
      </c>
      <c r="C3" s="20" t="s">
        <v>48</v>
      </c>
      <c r="D3" s="21" t="s">
        <v>49</v>
      </c>
      <c r="E3" s="276">
        <v>80179.176070000001</v>
      </c>
      <c r="F3" s="276">
        <v>0</v>
      </c>
    </row>
    <row r="4" spans="2:6" ht="48.75" thickBot="1" x14ac:dyDescent="0.3">
      <c r="B4" s="19" t="s">
        <v>50</v>
      </c>
      <c r="C4" s="20" t="s">
        <v>51</v>
      </c>
      <c r="D4" s="21" t="s">
        <v>52</v>
      </c>
      <c r="E4" s="25">
        <v>58369.865899999997</v>
      </c>
      <c r="F4" s="25">
        <v>17510.959770000001</v>
      </c>
    </row>
    <row r="5" spans="2:6" ht="60.75" thickBot="1" x14ac:dyDescent="0.3">
      <c r="B5" s="19" t="s">
        <v>53</v>
      </c>
      <c r="C5" s="20" t="s">
        <v>54</v>
      </c>
      <c r="D5" s="21" t="s">
        <v>55</v>
      </c>
      <c r="E5" s="25">
        <v>33347.739750000001</v>
      </c>
      <c r="F5" s="25">
        <v>16673.869875</v>
      </c>
    </row>
    <row r="6" spans="2:6" ht="60.75" thickBot="1" x14ac:dyDescent="0.3">
      <c r="B6" s="19" t="s">
        <v>56</v>
      </c>
      <c r="C6" s="20" t="s">
        <v>57</v>
      </c>
      <c r="D6" s="21" t="s">
        <v>58</v>
      </c>
      <c r="E6" s="25">
        <v>44969.607300000003</v>
      </c>
      <c r="F6" s="25">
        <v>29230.244745</v>
      </c>
    </row>
    <row r="7" spans="2:6" ht="60.75" thickBot="1" x14ac:dyDescent="0.3">
      <c r="B7" s="19" t="s">
        <v>59</v>
      </c>
      <c r="C7" s="20" t="s">
        <v>60</v>
      </c>
      <c r="D7" s="21" t="s">
        <v>61</v>
      </c>
      <c r="E7" s="26">
        <v>131720.9682</v>
      </c>
      <c r="F7" s="26">
        <v>111962.82296999999</v>
      </c>
    </row>
    <row r="8" spans="2:6" ht="15.75" thickBot="1" x14ac:dyDescent="0.3">
      <c r="B8" s="22"/>
      <c r="C8" s="23"/>
      <c r="D8" s="24"/>
      <c r="E8" s="277">
        <v>348587.35722000001</v>
      </c>
      <c r="F8" s="278">
        <v>175377.89736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opLeftCell="B22" zoomScale="130" zoomScaleNormal="130" workbookViewId="0">
      <selection activeCell="F25" sqref="F25"/>
    </sheetView>
  </sheetViews>
  <sheetFormatPr baseColWidth="10" defaultColWidth="9.140625" defaultRowHeight="15" x14ac:dyDescent="0.25"/>
  <cols>
    <col min="1" max="1" width="1.85546875" hidden="1" customWidth="1"/>
    <col min="2" max="2" width="11.7109375" customWidth="1"/>
    <col min="3" max="3" width="35" customWidth="1"/>
    <col min="4" max="4" width="12.42578125" customWidth="1"/>
    <col min="5" max="5" width="12.28515625" customWidth="1"/>
    <col min="6" max="6" width="11.85546875" customWidth="1"/>
    <col min="7" max="7" width="8.140625" bestFit="1" customWidth="1"/>
    <col min="9" max="9" width="9.7109375" bestFit="1" customWidth="1"/>
  </cols>
  <sheetData>
    <row r="1" spans="2:9" ht="15.75" thickBot="1" x14ac:dyDescent="0.3"/>
    <row r="2" spans="2:9" ht="30.75" customHeight="1" x14ac:dyDescent="0.25">
      <c r="B2" s="987" t="s">
        <v>683</v>
      </c>
      <c r="C2" s="988"/>
      <c r="D2" s="988"/>
      <c r="E2" s="988"/>
      <c r="F2" s="988"/>
      <c r="G2" s="989"/>
    </row>
    <row r="3" spans="2:9" ht="18.75" customHeight="1" thickBot="1" x14ac:dyDescent="0.3">
      <c r="B3" s="990" t="s">
        <v>62</v>
      </c>
      <c r="C3" s="991"/>
      <c r="D3" s="991"/>
      <c r="E3" s="991"/>
      <c r="F3" s="991"/>
      <c r="G3" s="992"/>
    </row>
    <row r="4" spans="2:9" ht="26.25" thickBot="1" x14ac:dyDescent="0.3">
      <c r="B4" s="39" t="s">
        <v>63</v>
      </c>
      <c r="C4" s="39" t="s">
        <v>44</v>
      </c>
      <c r="D4" s="40" t="s">
        <v>76</v>
      </c>
      <c r="E4" s="40" t="s">
        <v>77</v>
      </c>
      <c r="F4" s="40" t="s">
        <v>26</v>
      </c>
      <c r="G4" s="40" t="s">
        <v>25</v>
      </c>
    </row>
    <row r="5" spans="2:9" s="31" customFormat="1" ht="14.25" thickBot="1" x14ac:dyDescent="0.3">
      <c r="B5" s="41" t="s">
        <v>64</v>
      </c>
      <c r="C5" s="42" t="s">
        <v>65</v>
      </c>
      <c r="D5" s="274">
        <f>SUM(D6:D9)</f>
        <v>14251.760539999999</v>
      </c>
      <c r="E5" s="274">
        <f>SUM(E6:E9)</f>
        <v>21109.797320000001</v>
      </c>
      <c r="F5" s="274">
        <f>SUM(F6:F9)</f>
        <v>-6858.0367799999985</v>
      </c>
      <c r="G5" s="308">
        <f t="shared" ref="G5:G8" si="0">F5/E5</f>
        <v>-0.32487459145344355</v>
      </c>
    </row>
    <row r="6" spans="2:9" s="31" customFormat="1" ht="13.5" x14ac:dyDescent="0.25">
      <c r="B6" s="32" t="s">
        <v>78</v>
      </c>
      <c r="C6" s="33" t="s">
        <v>81</v>
      </c>
      <c r="D6" s="34">
        <v>10838.41482</v>
      </c>
      <c r="E6" s="34">
        <v>18419.423839999999</v>
      </c>
      <c r="F6" s="335">
        <f>D6-E6</f>
        <v>-7581.0090199999995</v>
      </c>
      <c r="G6" s="300">
        <f t="shared" si="0"/>
        <v>-0.41157688133202758</v>
      </c>
    </row>
    <row r="7" spans="2:9" s="31" customFormat="1" ht="13.5" x14ac:dyDescent="0.25">
      <c r="B7" s="32" t="s">
        <v>277</v>
      </c>
      <c r="C7" s="33" t="s">
        <v>278</v>
      </c>
      <c r="D7" s="34"/>
      <c r="E7" s="34">
        <v>6.4</v>
      </c>
      <c r="F7" s="335">
        <f>D7-E7</f>
        <v>-6.4</v>
      </c>
      <c r="G7" s="301">
        <f t="shared" si="0"/>
        <v>-1</v>
      </c>
    </row>
    <row r="8" spans="2:9" s="31" customFormat="1" ht="13.5" x14ac:dyDescent="0.25">
      <c r="B8" s="37" t="s">
        <v>66</v>
      </c>
      <c r="C8" s="38" t="s">
        <v>67</v>
      </c>
      <c r="D8" s="34">
        <v>2852.5534400000001</v>
      </c>
      <c r="E8" s="34">
        <v>2399.27648</v>
      </c>
      <c r="F8" s="335">
        <f>D8-E8</f>
        <v>453.27696000000014</v>
      </c>
      <c r="G8" s="306">
        <f t="shared" si="0"/>
        <v>0.18892235379225664</v>
      </c>
    </row>
    <row r="9" spans="2:9" s="31" customFormat="1" ht="14.25" thickBot="1" x14ac:dyDescent="0.3">
      <c r="B9" s="32" t="s">
        <v>79</v>
      </c>
      <c r="C9" s="33" t="s">
        <v>80</v>
      </c>
      <c r="D9" s="34">
        <v>560.79228000000001</v>
      </c>
      <c r="E9" s="35">
        <v>284.697</v>
      </c>
      <c r="F9" s="335">
        <f>D9-E9</f>
        <v>276.09528</v>
      </c>
      <c r="G9" s="302">
        <f>F9/E9</f>
        <v>0.96978640449319808</v>
      </c>
    </row>
    <row r="10" spans="2:9" s="31" customFormat="1" ht="27.75" thickBot="1" x14ac:dyDescent="0.3">
      <c r="B10" s="41" t="s">
        <v>82</v>
      </c>
      <c r="C10" s="42" t="s">
        <v>83</v>
      </c>
      <c r="D10" s="274">
        <f>SUM(D11:D15)</f>
        <v>28610.242709999999</v>
      </c>
      <c r="E10" s="274">
        <f>SUM(E11:E15)</f>
        <v>30058.069249999997</v>
      </c>
      <c r="F10" s="274">
        <f>SUM(F11:F15)</f>
        <v>-1447.8265399999998</v>
      </c>
      <c r="G10" s="303">
        <f t="shared" ref="G10:G27" si="1">F10/E10</f>
        <v>-4.8167649357584733E-2</v>
      </c>
    </row>
    <row r="11" spans="2:9" s="31" customFormat="1" ht="12" customHeight="1" x14ac:dyDescent="0.25">
      <c r="B11" s="32" t="s">
        <v>84</v>
      </c>
      <c r="C11" s="33" t="s">
        <v>85</v>
      </c>
      <c r="D11" s="34">
        <v>24749.643319999999</v>
      </c>
      <c r="E11" s="35">
        <v>25245.484199999999</v>
      </c>
      <c r="F11" s="335">
        <f>D11-E11</f>
        <v>-495.84087999999974</v>
      </c>
      <c r="G11" s="300">
        <f t="shared" si="1"/>
        <v>-1.9640775200500997E-2</v>
      </c>
    </row>
    <row r="12" spans="2:9" s="31" customFormat="1" ht="13.5" x14ac:dyDescent="0.25">
      <c r="B12" s="32" t="s">
        <v>86</v>
      </c>
      <c r="C12" s="33" t="s">
        <v>87</v>
      </c>
      <c r="D12" s="34">
        <v>3024.6682000000001</v>
      </c>
      <c r="E12" s="35">
        <v>3632.1770000000001</v>
      </c>
      <c r="F12" s="36">
        <f>D12-E12</f>
        <v>-607.50880000000006</v>
      </c>
      <c r="G12" s="301">
        <f t="shared" si="1"/>
        <v>-0.16725748772705737</v>
      </c>
    </row>
    <row r="13" spans="2:9" s="31" customFormat="1" ht="13.5" x14ac:dyDescent="0.25">
      <c r="B13" s="32" t="s">
        <v>88</v>
      </c>
      <c r="C13" s="33" t="s">
        <v>89</v>
      </c>
      <c r="D13" s="34">
        <v>606.39</v>
      </c>
      <c r="E13" s="35">
        <v>896.51499999999999</v>
      </c>
      <c r="F13" s="36">
        <f>D13-E13</f>
        <v>-290.125</v>
      </c>
      <c r="G13" s="301">
        <f t="shared" si="1"/>
        <v>-0.32361421727466916</v>
      </c>
    </row>
    <row r="14" spans="2:9" s="31" customFormat="1" ht="27" x14ac:dyDescent="0.25">
      <c r="B14" s="923" t="s">
        <v>90</v>
      </c>
      <c r="C14" s="33" t="s">
        <v>91</v>
      </c>
      <c r="D14" s="34">
        <v>108.742</v>
      </c>
      <c r="E14" s="35">
        <v>135.17156</v>
      </c>
      <c r="F14" s="36">
        <f>D14-E14</f>
        <v>-26.429559999999995</v>
      </c>
      <c r="G14" s="301">
        <f t="shared" si="1"/>
        <v>-0.19552604112876995</v>
      </c>
      <c r="I14" s="979" t="s">
        <v>682</v>
      </c>
    </row>
    <row r="15" spans="2:9" s="31" customFormat="1" ht="14.25" thickBot="1" x14ac:dyDescent="0.3">
      <c r="B15" s="32" t="s">
        <v>92</v>
      </c>
      <c r="C15" s="33" t="s">
        <v>93</v>
      </c>
      <c r="D15" s="34">
        <v>120.79919</v>
      </c>
      <c r="E15" s="35">
        <v>148.72148999999999</v>
      </c>
      <c r="F15" s="36">
        <f>D15-E15</f>
        <v>-27.922299999999993</v>
      </c>
      <c r="G15" s="302">
        <f t="shared" si="1"/>
        <v>-0.18774892586135331</v>
      </c>
    </row>
    <row r="16" spans="2:9" s="31" customFormat="1" ht="14.25" thickBot="1" x14ac:dyDescent="0.3">
      <c r="B16" s="41" t="s">
        <v>94</v>
      </c>
      <c r="C16" s="42" t="s">
        <v>95</v>
      </c>
      <c r="D16" s="274">
        <f>SUM(D17:D18)</f>
        <v>131927.51913</v>
      </c>
      <c r="E16" s="274">
        <f>SUM(E17:E18)</f>
        <v>131379.80455</v>
      </c>
      <c r="F16" s="274">
        <f>SUM(F17:F18)</f>
        <v>547.71458000000212</v>
      </c>
      <c r="G16" s="303">
        <f t="shared" si="1"/>
        <v>4.1689404385706411E-3</v>
      </c>
    </row>
    <row r="17" spans="2:9" x14ac:dyDescent="0.25">
      <c r="B17" s="32" t="s">
        <v>96</v>
      </c>
      <c r="C17" s="33" t="s">
        <v>97</v>
      </c>
      <c r="D17" s="34">
        <v>1462.7289800000001</v>
      </c>
      <c r="E17" s="34">
        <v>1237.7565400000001</v>
      </c>
      <c r="F17" s="304">
        <f>D17-E17</f>
        <v>224.97244000000001</v>
      </c>
      <c r="G17" s="300">
        <f t="shared" si="1"/>
        <v>0.18175823171170641</v>
      </c>
    </row>
    <row r="18" spans="2:9" ht="15.75" thickBot="1" x14ac:dyDescent="0.3">
      <c r="B18" s="32" t="s">
        <v>98</v>
      </c>
      <c r="C18" s="33" t="s">
        <v>99</v>
      </c>
      <c r="D18" s="34">
        <v>130464.79015</v>
      </c>
      <c r="E18" s="34">
        <v>130142.04801</v>
      </c>
      <c r="F18" s="304">
        <f>D18-E18</f>
        <v>322.74214000000211</v>
      </c>
      <c r="G18" s="302">
        <f t="shared" si="1"/>
        <v>2.4799220923217907E-3</v>
      </c>
    </row>
    <row r="19" spans="2:9" ht="15.75" thickBot="1" x14ac:dyDescent="0.3">
      <c r="B19" s="41" t="s">
        <v>68</v>
      </c>
      <c r="C19" s="42" t="s">
        <v>69</v>
      </c>
      <c r="D19" s="274">
        <f>SUM(D20:D26)</f>
        <v>11877.311400000001</v>
      </c>
      <c r="E19" s="274">
        <f>SUM(E20:E26)</f>
        <v>8423.1915200000003</v>
      </c>
      <c r="F19" s="274">
        <f>SUM(F20:F26)</f>
        <v>3454.1198799999993</v>
      </c>
      <c r="G19" s="400">
        <f t="shared" si="1"/>
        <v>0.41007258018514092</v>
      </c>
      <c r="I19" s="4" t="s">
        <v>20</v>
      </c>
    </row>
    <row r="20" spans="2:9" x14ac:dyDescent="0.25">
      <c r="B20" s="32" t="s">
        <v>70</v>
      </c>
      <c r="C20" s="33" t="s">
        <v>71</v>
      </c>
      <c r="D20" s="34">
        <v>1388.4597699999999</v>
      </c>
      <c r="E20" s="34">
        <v>936.80646000000002</v>
      </c>
      <c r="F20" s="304">
        <f t="shared" ref="F20:F26" si="2">D20-E20</f>
        <v>451.65330999999992</v>
      </c>
      <c r="G20" s="306">
        <f t="shared" si="1"/>
        <v>0.4821201916135377</v>
      </c>
    </row>
    <row r="21" spans="2:9" ht="27" x14ac:dyDescent="0.25">
      <c r="B21" s="923" t="s">
        <v>305</v>
      </c>
      <c r="C21" s="33" t="s">
        <v>306</v>
      </c>
      <c r="D21" s="34">
        <v>189</v>
      </c>
      <c r="E21" s="34">
        <v>0</v>
      </c>
      <c r="F21" s="304">
        <f t="shared" si="2"/>
        <v>189</v>
      </c>
      <c r="G21" s="306" t="e">
        <f>F21/E21</f>
        <v>#DIV/0!</v>
      </c>
    </row>
    <row r="22" spans="2:9" x14ac:dyDescent="0.25">
      <c r="B22" s="32" t="s">
        <v>72</v>
      </c>
      <c r="C22" s="33" t="s">
        <v>73</v>
      </c>
      <c r="D22" s="34">
        <v>2075.7801599999998</v>
      </c>
      <c r="E22" s="34">
        <v>2625.8525600000003</v>
      </c>
      <c r="F22" s="304">
        <f t="shared" si="2"/>
        <v>-550.07240000000047</v>
      </c>
      <c r="G22" s="306">
        <f t="shared" si="1"/>
        <v>-0.20948335347510921</v>
      </c>
    </row>
    <row r="23" spans="2:9" x14ac:dyDescent="0.25">
      <c r="B23" s="32" t="s">
        <v>100</v>
      </c>
      <c r="C23" s="33" t="s">
        <v>101</v>
      </c>
      <c r="D23" s="34">
        <v>223.09245000000001</v>
      </c>
      <c r="E23" s="34">
        <v>331.39134999999999</v>
      </c>
      <c r="F23" s="304">
        <f t="shared" si="2"/>
        <v>-108.29889999999997</v>
      </c>
      <c r="G23" s="301">
        <f t="shared" si="1"/>
        <v>-0.32680062409595173</v>
      </c>
    </row>
    <row r="24" spans="2:9" x14ac:dyDescent="0.25">
      <c r="B24" s="32" t="s">
        <v>102</v>
      </c>
      <c r="C24" s="33" t="s">
        <v>103</v>
      </c>
      <c r="D24" s="34">
        <v>4141.43577</v>
      </c>
      <c r="E24" s="34">
        <v>1802.4730900000002</v>
      </c>
      <c r="F24" s="304">
        <f t="shared" si="2"/>
        <v>2338.9626799999996</v>
      </c>
      <c r="G24" s="301">
        <f t="shared" si="1"/>
        <v>1.2976408319083417</v>
      </c>
    </row>
    <row r="25" spans="2:9" x14ac:dyDescent="0.25">
      <c r="B25" s="32" t="s">
        <v>104</v>
      </c>
      <c r="C25" s="33" t="s">
        <v>105</v>
      </c>
      <c r="D25" s="34">
        <v>3190.54925</v>
      </c>
      <c r="E25" s="34">
        <v>2208.0580599999998</v>
      </c>
      <c r="F25" s="304">
        <f t="shared" si="2"/>
        <v>982.49119000000019</v>
      </c>
      <c r="G25" s="301">
        <f t="shared" si="1"/>
        <v>0.44495713577386647</v>
      </c>
    </row>
    <row r="26" spans="2:9" ht="15.75" thickBot="1" x14ac:dyDescent="0.3">
      <c r="B26" s="32" t="s">
        <v>74</v>
      </c>
      <c r="C26" s="33" t="s">
        <v>75</v>
      </c>
      <c r="D26" s="34">
        <v>668.99400000000003</v>
      </c>
      <c r="E26" s="34">
        <v>518.61</v>
      </c>
      <c r="F26" s="304">
        <f t="shared" si="2"/>
        <v>150.38400000000001</v>
      </c>
      <c r="G26" s="307">
        <f t="shared" si="1"/>
        <v>0.28997512581708801</v>
      </c>
    </row>
    <row r="27" spans="2:9" ht="15.75" thickBot="1" x14ac:dyDescent="0.3">
      <c r="B27" s="28" t="s">
        <v>20</v>
      </c>
      <c r="C27" s="30" t="s">
        <v>10</v>
      </c>
      <c r="D27" s="275">
        <f>D5+D10+D16+D19</f>
        <v>186666.83377999999</v>
      </c>
      <c r="E27" s="275">
        <f>E5+E10+E16+E19</f>
        <v>190970.86264000001</v>
      </c>
      <c r="F27" s="275">
        <f>F5+F10+F16+F19</f>
        <v>-4304.0288599999976</v>
      </c>
      <c r="G27" s="305">
        <f t="shared" si="1"/>
        <v>-2.2537620663700624E-2</v>
      </c>
    </row>
    <row r="29" spans="2:9" x14ac:dyDescent="0.25">
      <c r="E29" s="181"/>
    </row>
  </sheetData>
  <protectedRanges>
    <protectedRange sqref="B9:C9" name="Rango1_1_5"/>
    <protectedRange sqref="B6:C7" name="Rango1_1_6"/>
    <protectedRange sqref="B10:C10" name="Rango1_1_7"/>
    <protectedRange sqref="B11:C11" name="Rango1_1_8"/>
    <protectedRange sqref="B12:C12" name="Rango1_1_10"/>
    <protectedRange sqref="D12" name="Rango1_1_11"/>
    <protectedRange sqref="B13:C13" name="Rango1_1_12"/>
    <protectedRange sqref="D13" name="Rango1_1_13"/>
    <protectedRange sqref="B14:C14" name="Rango1_1_14"/>
    <protectedRange sqref="D14" name="Rango1_1_15"/>
    <protectedRange sqref="B15:C15" name="Rango1_1_16"/>
    <protectedRange sqref="D15" name="Rango1_1_17"/>
    <protectedRange sqref="B16:C16" name="Rango1_1_18"/>
    <protectedRange sqref="D16:F16" name="Rango1_1_19"/>
    <protectedRange sqref="B17:C17" name="Rango1_1_20"/>
    <protectedRange sqref="D17" name="Rango1_1_21"/>
    <protectedRange sqref="B18:C18" name="Rango1_1_22"/>
    <protectedRange sqref="D18" name="Rango1_1_23"/>
    <protectedRange sqref="D20:D21" name="Rango1_1_24"/>
    <protectedRange sqref="B23:C23" name="Rango1_1_26"/>
    <protectedRange sqref="D22:D23" name="Rango1_1_27"/>
    <protectedRange sqref="B24:C24" name="Rango1_1_28"/>
    <protectedRange sqref="D24" name="Rango1_1_29"/>
    <protectedRange sqref="B25:C25" name="Rango1_1_30"/>
    <protectedRange sqref="D25" name="Rango1_1_31"/>
    <protectedRange sqref="B26:C26" name="Rango1_1_32"/>
    <protectedRange sqref="D26" name="Rango1_1_33"/>
    <protectedRange sqref="D6" name="Rango1_1"/>
    <protectedRange sqref="D11" name="Rango1_2"/>
  </protectedRanges>
  <mergeCells count="2">
    <mergeCell ref="B2:G2"/>
    <mergeCell ref="B3:G3"/>
  </mergeCells>
  <pageMargins left="0.7" right="0.7" top="0.75" bottom="0.75" header="0.3" footer="0.3"/>
  <pageSetup paperSize="9" orientation="portrait" horizontalDpi="0" verticalDpi="0" r:id="rId1"/>
  <ignoredErrors>
    <ignoredError sqref="G6:G7 G10:G18 G23:G25 G21" evalError="1"/>
    <ignoredError sqref="F10 F16 F1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52"/>
  <sheetViews>
    <sheetView topLeftCell="A22" zoomScale="90" zoomScaleNormal="90" workbookViewId="0">
      <selection activeCell="B19" sqref="B19:H29"/>
    </sheetView>
  </sheetViews>
  <sheetFormatPr baseColWidth="10" defaultColWidth="9.140625" defaultRowHeight="15" x14ac:dyDescent="0.25"/>
  <cols>
    <col min="1" max="1" width="1.5703125" customWidth="1"/>
    <col min="2" max="2" width="13.5703125" style="479" customWidth="1"/>
    <col min="3" max="3" width="13.42578125" style="31" customWidth="1"/>
    <col min="4" max="4" width="8.42578125" style="31" customWidth="1"/>
    <col min="5" max="5" width="10.85546875" customWidth="1"/>
    <col min="6" max="6" width="7.85546875" style="31" bestFit="1" customWidth="1"/>
    <col min="7" max="8" width="8.85546875" style="31" customWidth="1"/>
    <col min="9" max="9" width="7.42578125" style="472" bestFit="1" customWidth="1"/>
    <col min="10" max="10" width="7.7109375" style="31" customWidth="1"/>
    <col min="11" max="12" width="0.140625" style="31" hidden="1" customWidth="1"/>
    <col min="13" max="13" width="1.42578125" style="31" hidden="1" customWidth="1"/>
    <col min="14" max="14" width="0.85546875" style="31" hidden="1" customWidth="1"/>
    <col min="15" max="15" width="1.7109375" style="31" hidden="1" customWidth="1"/>
    <col min="16" max="16" width="0.85546875" hidden="1" customWidth="1"/>
    <col min="17" max="17" width="1.140625" hidden="1" customWidth="1"/>
    <col min="18" max="18" width="1.5703125" hidden="1" customWidth="1"/>
    <col min="19" max="19" width="1.42578125" hidden="1" customWidth="1"/>
    <col min="20" max="20" width="1.85546875" hidden="1" customWidth="1"/>
    <col min="21" max="21" width="6.5703125" hidden="1" customWidth="1"/>
    <col min="22" max="30" width="0.85546875" customWidth="1"/>
    <col min="31" max="37" width="6.5703125" bestFit="1" customWidth="1"/>
    <col min="38" max="42" width="0.85546875" customWidth="1"/>
    <col min="43" max="43" width="9.140625" customWidth="1"/>
    <col min="44" max="44" width="7.42578125" bestFit="1" customWidth="1"/>
    <col min="45" max="45" width="10.140625" customWidth="1"/>
    <col min="46" max="46" width="10.140625" bestFit="1" customWidth="1"/>
    <col min="47" max="47" width="11.85546875" bestFit="1" customWidth="1"/>
    <col min="48" max="48" width="2.42578125" customWidth="1"/>
    <col min="49" max="49" width="2.140625" customWidth="1"/>
    <col min="50" max="50" width="30" customWidth="1"/>
    <col min="52" max="53" width="11.140625" bestFit="1" customWidth="1"/>
  </cols>
  <sheetData>
    <row r="1" spans="2:53" ht="15.75" thickBot="1" x14ac:dyDescent="0.3">
      <c r="B1" s="1004" t="s">
        <v>355</v>
      </c>
      <c r="C1" s="1005"/>
      <c r="D1" s="1005"/>
      <c r="E1" s="1005"/>
      <c r="F1" s="1005"/>
      <c r="G1" s="1005"/>
      <c r="H1" s="1005"/>
      <c r="I1" s="1005"/>
      <c r="J1" s="1006"/>
      <c r="K1" s="1007" t="s">
        <v>356</v>
      </c>
      <c r="L1" s="1008"/>
      <c r="M1" s="1008"/>
      <c r="N1" s="1008"/>
      <c r="O1" s="1009"/>
      <c r="P1" s="407"/>
      <c r="Q1" s="407"/>
      <c r="R1" s="407"/>
      <c r="S1" s="407"/>
      <c r="T1" s="407"/>
      <c r="U1" s="407"/>
      <c r="V1" s="660"/>
      <c r="W1" s="660"/>
      <c r="X1" s="660"/>
      <c r="Y1" s="660"/>
      <c r="Z1" s="660"/>
      <c r="AA1" s="660"/>
      <c r="AB1" s="660"/>
      <c r="AC1" s="660"/>
      <c r="AD1" s="660"/>
      <c r="AE1" s="1010" t="s">
        <v>357</v>
      </c>
      <c r="AF1" s="1010"/>
      <c r="AG1" s="1010"/>
      <c r="AH1" s="1010"/>
      <c r="AI1" s="1010"/>
      <c r="AJ1" s="1010"/>
      <c r="AK1" s="1010"/>
      <c r="AL1" s="1010"/>
      <c r="AM1" s="1010"/>
      <c r="AN1" s="1010"/>
      <c r="AO1" s="1010"/>
      <c r="AP1" s="1010"/>
      <c r="AQ1" s="1010"/>
      <c r="AR1" s="435"/>
      <c r="AS1" s="1011" t="s">
        <v>607</v>
      </c>
      <c r="AT1" s="1013" t="s">
        <v>329</v>
      </c>
      <c r="AU1" t="s">
        <v>20</v>
      </c>
    </row>
    <row r="2" spans="2:53" ht="41.25" thickBot="1" x14ac:dyDescent="0.4">
      <c r="B2" s="436" t="s">
        <v>123</v>
      </c>
      <c r="C2" s="62" t="s">
        <v>124</v>
      </c>
      <c r="D2" s="62" t="s">
        <v>125</v>
      </c>
      <c r="E2" s="355" t="s">
        <v>133</v>
      </c>
      <c r="F2" s="355" t="s">
        <v>358</v>
      </c>
      <c r="G2" s="62" t="s">
        <v>359</v>
      </c>
      <c r="H2" s="355" t="s">
        <v>126</v>
      </c>
      <c r="I2" s="437" t="s">
        <v>360</v>
      </c>
      <c r="J2" s="437" t="s">
        <v>361</v>
      </c>
      <c r="K2" s="438">
        <v>45292</v>
      </c>
      <c r="L2" s="438">
        <v>45323</v>
      </c>
      <c r="M2" s="438">
        <v>45352</v>
      </c>
      <c r="N2" s="438">
        <v>45383</v>
      </c>
      <c r="O2" s="438">
        <v>45413</v>
      </c>
      <c r="Q2" t="s">
        <v>594</v>
      </c>
      <c r="R2" t="s">
        <v>595</v>
      </c>
      <c r="V2" s="591">
        <v>45017</v>
      </c>
      <c r="W2" s="439">
        <v>45047</v>
      </c>
      <c r="X2" s="439">
        <v>45078</v>
      </c>
      <c r="Y2" s="439">
        <v>45108</v>
      </c>
      <c r="Z2" s="439">
        <v>45139</v>
      </c>
      <c r="AA2" s="439">
        <v>45170</v>
      </c>
      <c r="AB2" s="439">
        <v>45200</v>
      </c>
      <c r="AC2" s="439">
        <v>45231</v>
      </c>
      <c r="AD2" s="439">
        <v>45261</v>
      </c>
      <c r="AE2" s="440">
        <v>45292</v>
      </c>
      <c r="AF2" s="440">
        <v>45323</v>
      </c>
      <c r="AG2" s="440">
        <v>45352</v>
      </c>
      <c r="AH2" s="440">
        <v>45383</v>
      </c>
      <c r="AI2" s="441">
        <v>45413</v>
      </c>
      <c r="AJ2" s="441">
        <v>45444</v>
      </c>
      <c r="AK2" s="441">
        <v>45474</v>
      </c>
      <c r="AL2" s="441">
        <v>45505</v>
      </c>
      <c r="AM2" s="441">
        <v>45536</v>
      </c>
      <c r="AN2" s="441">
        <v>45566</v>
      </c>
      <c r="AO2" s="441">
        <v>45597</v>
      </c>
      <c r="AP2" s="441">
        <v>45627</v>
      </c>
      <c r="AQ2" s="441" t="s">
        <v>362</v>
      </c>
      <c r="AR2" s="442" t="s">
        <v>19</v>
      </c>
      <c r="AS2" s="1012"/>
      <c r="AT2" s="1014"/>
      <c r="AX2" s="1003" t="s">
        <v>596</v>
      </c>
      <c r="AY2" s="1003"/>
      <c r="AZ2" s="1003"/>
      <c r="BA2" s="1003"/>
    </row>
    <row r="3" spans="2:53" ht="27.75" thickBot="1" x14ac:dyDescent="0.3">
      <c r="B3" s="520" t="s">
        <v>127</v>
      </c>
      <c r="C3" s="521" t="s">
        <v>128</v>
      </c>
      <c r="D3" s="521" t="s">
        <v>129</v>
      </c>
      <c r="E3" s="443">
        <v>14168.793</v>
      </c>
      <c r="F3" s="444">
        <v>44927</v>
      </c>
      <c r="G3" s="445">
        <v>45291</v>
      </c>
      <c r="H3" s="444" t="s">
        <v>363</v>
      </c>
      <c r="I3" s="446">
        <v>12</v>
      </c>
      <c r="J3" s="443">
        <f>E3/I3</f>
        <v>1180.7327499999999</v>
      </c>
      <c r="K3" s="447">
        <v>1180.7327499999999</v>
      </c>
      <c r="L3" s="447">
        <v>2361.4699999999998</v>
      </c>
      <c r="M3" s="447">
        <v>3542.2</v>
      </c>
      <c r="N3" s="447">
        <v>3542.2</v>
      </c>
      <c r="O3" s="448">
        <f t="shared" ref="O3:O11" si="0">+R3</f>
        <v>3542.1982499999999</v>
      </c>
      <c r="P3" t="s">
        <v>333</v>
      </c>
      <c r="Q3" s="592">
        <v>3542198.25</v>
      </c>
      <c r="R3" s="593">
        <f>+Q3/1000</f>
        <v>3542.1982499999999</v>
      </c>
      <c r="U3" s="594"/>
      <c r="V3" s="654">
        <v>1180.73</v>
      </c>
      <c r="W3" s="654">
        <v>1180.73</v>
      </c>
      <c r="X3" s="654">
        <v>1180.73</v>
      </c>
      <c r="Y3" s="654">
        <v>1180.73</v>
      </c>
      <c r="Z3" s="654">
        <v>1180.73</v>
      </c>
      <c r="AA3" s="654">
        <v>1180.73</v>
      </c>
      <c r="AB3" s="654">
        <v>1180.73</v>
      </c>
      <c r="AC3" s="654">
        <v>1180.73</v>
      </c>
      <c r="AD3" s="654">
        <v>1180.73</v>
      </c>
      <c r="AE3" s="449">
        <v>1180.73</v>
      </c>
      <c r="AF3" s="449">
        <v>1180.74</v>
      </c>
      <c r="AG3" s="449">
        <v>1180.73</v>
      </c>
      <c r="AH3" s="450">
        <v>0</v>
      </c>
      <c r="AI3" s="450">
        <v>0</v>
      </c>
      <c r="AJ3" s="450"/>
      <c r="AK3" s="595"/>
      <c r="AL3" s="451"/>
      <c r="AM3" s="451"/>
      <c r="AN3" s="451"/>
      <c r="AO3" s="451"/>
      <c r="AP3" s="451"/>
      <c r="AQ3" s="454">
        <f>SUM(AE3:AP3)</f>
        <v>3542.2000000000003</v>
      </c>
      <c r="AR3" s="449">
        <f>V3+W3+X3+Y3+Z3+AA3+AB3+AC3+AD3+AE3+AF3+AG3+AH3+AI3</f>
        <v>14168.769999999997</v>
      </c>
      <c r="AS3" s="596">
        <f>+E3-AR3</f>
        <v>2.3000000002866727E-2</v>
      </c>
      <c r="AT3" s="597" t="s">
        <v>364</v>
      </c>
      <c r="AU3" s="657" t="s">
        <v>333</v>
      </c>
      <c r="AX3" s="649" t="s">
        <v>597</v>
      </c>
      <c r="AY3" s="598" t="s">
        <v>598</v>
      </c>
      <c r="AZ3" s="650">
        <v>463396.35666666797</v>
      </c>
      <c r="BA3" s="651"/>
    </row>
    <row r="4" spans="2:53" x14ac:dyDescent="0.25">
      <c r="B4" s="599" t="s">
        <v>127</v>
      </c>
      <c r="C4" s="600" t="s">
        <v>128</v>
      </c>
      <c r="D4" s="600" t="s">
        <v>129</v>
      </c>
      <c r="E4" s="601">
        <v>16018.947</v>
      </c>
      <c r="F4" s="602">
        <v>45292</v>
      </c>
      <c r="G4" s="603">
        <v>45657</v>
      </c>
      <c r="H4" s="602">
        <v>45406</v>
      </c>
      <c r="I4" s="604">
        <v>12</v>
      </c>
      <c r="J4" s="601">
        <f t="shared" ref="J4:J14" si="1">E4/I4</f>
        <v>1334.9122500000001</v>
      </c>
      <c r="K4" s="601">
        <v>0</v>
      </c>
      <c r="L4" s="601">
        <v>0</v>
      </c>
      <c r="M4" s="601">
        <v>0</v>
      </c>
      <c r="N4" s="601">
        <v>1334.91</v>
      </c>
      <c r="O4" s="605">
        <f>+R4</f>
        <v>2669.8245000000002</v>
      </c>
      <c r="P4" s="606" t="s">
        <v>366</v>
      </c>
      <c r="Q4" s="607">
        <v>2669824.5</v>
      </c>
      <c r="R4" s="608">
        <f>+Q4/1000</f>
        <v>2669.8245000000002</v>
      </c>
      <c r="S4" s="606"/>
      <c r="T4" s="606"/>
      <c r="U4" s="609"/>
      <c r="V4" s="655">
        <v>0</v>
      </c>
      <c r="W4" s="655">
        <v>0</v>
      </c>
      <c r="X4" s="655">
        <v>0</v>
      </c>
      <c r="Y4" s="655">
        <v>0</v>
      </c>
      <c r="Z4" s="655">
        <v>0</v>
      </c>
      <c r="AA4" s="655">
        <v>0</v>
      </c>
      <c r="AB4" s="655">
        <v>0</v>
      </c>
      <c r="AC4" s="655">
        <v>0</v>
      </c>
      <c r="AD4" s="655">
        <v>0</v>
      </c>
      <c r="AE4" s="610">
        <v>0</v>
      </c>
      <c r="AF4" s="610">
        <v>0</v>
      </c>
      <c r="AG4" s="610">
        <v>0</v>
      </c>
      <c r="AH4" s="611">
        <v>1334.9122500000001</v>
      </c>
      <c r="AI4" s="611">
        <v>1334.91</v>
      </c>
      <c r="AJ4" s="611">
        <v>1334.91</v>
      </c>
      <c r="AK4" s="611">
        <v>1334.91</v>
      </c>
      <c r="AL4" s="612"/>
      <c r="AM4" s="612"/>
      <c r="AN4" s="612"/>
      <c r="AO4" s="612"/>
      <c r="AP4" s="612"/>
      <c r="AQ4" s="611">
        <f t="shared" ref="AQ4:AQ16" si="2">SUM(AE4:AP4)</f>
        <v>5339.6422499999999</v>
      </c>
      <c r="AR4" s="613">
        <f>V4+W4+X4+Y4+Z4+AA4+AB4+AC4+AD4+AE4+AF4+AG4+AH4+AI4+AJ4+AK4</f>
        <v>5339.6422499999999</v>
      </c>
      <c r="AS4" s="582">
        <f t="shared" ref="AS4:AS9" si="3">E4-AR4</f>
        <v>10679.304749999999</v>
      </c>
      <c r="AT4" s="614" t="s">
        <v>365</v>
      </c>
      <c r="AU4" s="657" t="s">
        <v>366</v>
      </c>
      <c r="AX4" s="651" t="s">
        <v>599</v>
      </c>
      <c r="AY4" s="652" t="s">
        <v>600</v>
      </c>
      <c r="AZ4" s="651"/>
      <c r="BA4" s="650">
        <f>+AZ3</f>
        <v>463396.35666666797</v>
      </c>
    </row>
    <row r="5" spans="2:53" x14ac:dyDescent="0.25">
      <c r="B5" s="456" t="s">
        <v>132</v>
      </c>
      <c r="C5" s="457" t="s">
        <v>130</v>
      </c>
      <c r="D5" s="457" t="s">
        <v>131</v>
      </c>
      <c r="E5" s="443">
        <v>425.35</v>
      </c>
      <c r="F5" s="458">
        <v>45093</v>
      </c>
      <c r="G5" s="458">
        <v>45241</v>
      </c>
      <c r="H5" s="458">
        <v>45167</v>
      </c>
      <c r="I5" s="452">
        <v>6</v>
      </c>
      <c r="J5" s="443">
        <f>E5/I5</f>
        <v>70.891666666666666</v>
      </c>
      <c r="K5" s="447">
        <v>70.89</v>
      </c>
      <c r="L5" s="447">
        <v>141.78</v>
      </c>
      <c r="M5" s="459">
        <v>141.78</v>
      </c>
      <c r="N5" s="459">
        <v>141.78</v>
      </c>
      <c r="O5" s="460">
        <v>141.78</v>
      </c>
      <c r="Q5" s="592"/>
      <c r="R5" s="593"/>
      <c r="U5" s="594"/>
      <c r="V5" s="655">
        <v>0</v>
      </c>
      <c r="W5" s="655">
        <v>0</v>
      </c>
      <c r="X5" s="655">
        <v>0</v>
      </c>
      <c r="Y5" s="655">
        <v>0</v>
      </c>
      <c r="Z5" s="655">
        <v>70.900000000000006</v>
      </c>
      <c r="AA5" s="655">
        <v>0</v>
      </c>
      <c r="AB5" s="655">
        <v>70.89</v>
      </c>
      <c r="AC5" s="655">
        <v>70.89</v>
      </c>
      <c r="AD5" s="655">
        <v>70.89</v>
      </c>
      <c r="AE5" s="453">
        <v>70.89</v>
      </c>
      <c r="AF5" s="453">
        <v>70.89</v>
      </c>
      <c r="AG5" s="596">
        <v>0</v>
      </c>
      <c r="AH5" s="454">
        <v>0</v>
      </c>
      <c r="AI5" s="454">
        <v>0</v>
      </c>
      <c r="AJ5" s="454"/>
      <c r="AK5" s="615"/>
      <c r="AL5" s="455"/>
      <c r="AM5" s="455"/>
      <c r="AN5" s="455"/>
      <c r="AO5" s="455"/>
      <c r="AP5" s="455"/>
      <c r="AQ5" s="454">
        <f t="shared" si="2"/>
        <v>141.78</v>
      </c>
      <c r="AR5" s="449">
        <f t="shared" ref="AR5:AR10" si="4">V5+W5+X5+Y5+Z5+AA5+AB5+AC5+AD5+AE5+AF5+AG5+AH5+AI5</f>
        <v>425.34999999999997</v>
      </c>
      <c r="AS5" s="596">
        <f t="shared" si="3"/>
        <v>0</v>
      </c>
      <c r="AT5" s="597" t="s">
        <v>606</v>
      </c>
      <c r="AU5" s="658" t="s">
        <v>340</v>
      </c>
    </row>
    <row r="6" spans="2:53" x14ac:dyDescent="0.25">
      <c r="B6" s="461" t="s">
        <v>279</v>
      </c>
      <c r="C6" s="457" t="s">
        <v>130</v>
      </c>
      <c r="D6" s="457" t="s">
        <v>131</v>
      </c>
      <c r="E6" s="443">
        <v>9303.7029999999995</v>
      </c>
      <c r="F6" s="458">
        <v>45241</v>
      </c>
      <c r="G6" s="463">
        <v>45607</v>
      </c>
      <c r="H6" s="458">
        <v>45237</v>
      </c>
      <c r="I6" s="452">
        <v>6</v>
      </c>
      <c r="J6" s="443">
        <f t="shared" si="1"/>
        <v>1550.6171666666667</v>
      </c>
      <c r="K6" s="447">
        <v>1550.62</v>
      </c>
      <c r="L6" s="447">
        <v>3101.23</v>
      </c>
      <c r="M6" s="447">
        <v>4651.8500000000004</v>
      </c>
      <c r="N6" s="447">
        <v>6202.47</v>
      </c>
      <c r="O6" s="448">
        <f t="shared" si="0"/>
        <v>6202.4686666666666</v>
      </c>
      <c r="P6" s="616" t="s">
        <v>334</v>
      </c>
      <c r="Q6" s="592">
        <v>6202468.666666667</v>
      </c>
      <c r="R6" s="617">
        <f t="shared" ref="R6:R10" si="5">+Q6/1000</f>
        <v>6202.4686666666666</v>
      </c>
      <c r="V6" s="654">
        <v>0</v>
      </c>
      <c r="W6" s="654">
        <v>0</v>
      </c>
      <c r="X6" s="654">
        <v>0</v>
      </c>
      <c r="Y6" s="654">
        <v>0</v>
      </c>
      <c r="Z6" s="654">
        <v>0</v>
      </c>
      <c r="AA6" s="654">
        <v>0</v>
      </c>
      <c r="AB6" s="654">
        <v>0</v>
      </c>
      <c r="AC6" s="654">
        <v>1550.6171666666667</v>
      </c>
      <c r="AD6" s="654">
        <v>1550.6171666666667</v>
      </c>
      <c r="AE6" s="449">
        <v>1550.6171666666667</v>
      </c>
      <c r="AF6" s="449">
        <v>1550.6171666666667</v>
      </c>
      <c r="AG6" s="449">
        <v>1550.6171666666667</v>
      </c>
      <c r="AH6" s="450">
        <v>1550.6171666666667</v>
      </c>
      <c r="AI6" s="450">
        <v>0</v>
      </c>
      <c r="AJ6" s="450"/>
      <c r="AK6" s="595"/>
      <c r="AL6" s="451"/>
      <c r="AM6" s="451"/>
      <c r="AN6" s="451"/>
      <c r="AO6" s="451"/>
      <c r="AP6" s="451"/>
      <c r="AQ6" s="454">
        <f t="shared" si="2"/>
        <v>6202.4686666666666</v>
      </c>
      <c r="AR6" s="449">
        <f t="shared" si="4"/>
        <v>9303.7029999999995</v>
      </c>
      <c r="AS6" s="596">
        <f t="shared" si="3"/>
        <v>0</v>
      </c>
      <c r="AT6" s="597" t="s">
        <v>367</v>
      </c>
      <c r="AU6" s="659" t="s">
        <v>334</v>
      </c>
      <c r="AX6" s="1002" t="s">
        <v>601</v>
      </c>
      <c r="AY6" s="1002"/>
      <c r="AZ6" s="1002"/>
      <c r="BA6" s="1002"/>
    </row>
    <row r="7" spans="2:53" x14ac:dyDescent="0.25">
      <c r="B7" s="462" t="s">
        <v>280</v>
      </c>
      <c r="C7" s="457" t="s">
        <v>130</v>
      </c>
      <c r="D7" s="457" t="s">
        <v>131</v>
      </c>
      <c r="E7" s="443">
        <v>703.30200000000002</v>
      </c>
      <c r="F7" s="458">
        <v>45241</v>
      </c>
      <c r="G7" s="463">
        <v>45423</v>
      </c>
      <c r="H7" s="458">
        <v>45237</v>
      </c>
      <c r="I7" s="452">
        <v>6</v>
      </c>
      <c r="J7" s="443">
        <f>E7/I7</f>
        <v>117.217</v>
      </c>
      <c r="K7" s="447">
        <v>117.22</v>
      </c>
      <c r="L7" s="447">
        <v>234.43</v>
      </c>
      <c r="M7" s="447">
        <v>351.65</v>
      </c>
      <c r="N7" s="447">
        <v>468.87</v>
      </c>
      <c r="O7" s="448">
        <f t="shared" si="0"/>
        <v>468.86799999999999</v>
      </c>
      <c r="P7" s="616" t="s">
        <v>335</v>
      </c>
      <c r="Q7" s="618">
        <v>468868</v>
      </c>
      <c r="R7" s="617">
        <f t="shared" si="5"/>
        <v>468.86799999999999</v>
      </c>
      <c r="V7" s="654">
        <v>0</v>
      </c>
      <c r="W7" s="654">
        <v>0</v>
      </c>
      <c r="X7" s="654">
        <v>0</v>
      </c>
      <c r="Y7" s="654">
        <v>0</v>
      </c>
      <c r="Z7" s="654">
        <v>0</v>
      </c>
      <c r="AA7" s="654">
        <v>0</v>
      </c>
      <c r="AB7" s="654">
        <v>0</v>
      </c>
      <c r="AC7" s="654">
        <v>117.217</v>
      </c>
      <c r="AD7" s="654">
        <v>117.217</v>
      </c>
      <c r="AE7" s="449">
        <v>117.217</v>
      </c>
      <c r="AF7" s="449">
        <v>117.217</v>
      </c>
      <c r="AG7" s="449">
        <v>117.217</v>
      </c>
      <c r="AH7" s="450">
        <v>117.217</v>
      </c>
      <c r="AI7" s="450">
        <v>0</v>
      </c>
      <c r="AJ7" s="450"/>
      <c r="AK7" s="595"/>
      <c r="AL7" s="451"/>
      <c r="AM7" s="451"/>
      <c r="AN7" s="451"/>
      <c r="AO7" s="451"/>
      <c r="AP7" s="451"/>
      <c r="AQ7" s="454">
        <f t="shared" si="2"/>
        <v>468.86799999999999</v>
      </c>
      <c r="AR7" s="619">
        <f t="shared" si="4"/>
        <v>703.30200000000002</v>
      </c>
      <c r="AS7" s="596">
        <f t="shared" si="3"/>
        <v>0</v>
      </c>
      <c r="AT7" s="597" t="s">
        <v>367</v>
      </c>
      <c r="AU7" s="659" t="s">
        <v>335</v>
      </c>
    </row>
    <row r="8" spans="2:53" ht="12.6" customHeight="1" x14ac:dyDescent="0.25">
      <c r="B8" s="464" t="s">
        <v>282</v>
      </c>
      <c r="C8" s="465" t="s">
        <v>130</v>
      </c>
      <c r="D8" s="457" t="s">
        <v>131</v>
      </c>
      <c r="E8" s="443">
        <v>3329.9340000000002</v>
      </c>
      <c r="F8" s="458">
        <v>45241</v>
      </c>
      <c r="G8" s="466">
        <v>45423</v>
      </c>
      <c r="H8" s="467">
        <v>45286</v>
      </c>
      <c r="I8" s="452">
        <v>6</v>
      </c>
      <c r="J8" s="443">
        <f t="shared" si="1"/>
        <v>554.98900000000003</v>
      </c>
      <c r="K8" s="468">
        <v>0</v>
      </c>
      <c r="L8" s="459">
        <v>1109.98</v>
      </c>
      <c r="M8" s="459">
        <v>1664.97</v>
      </c>
      <c r="N8" s="459">
        <v>2219.96</v>
      </c>
      <c r="O8" s="469">
        <f t="shared" si="0"/>
        <v>2774.9450000000002</v>
      </c>
      <c r="P8" s="620" t="s">
        <v>336</v>
      </c>
      <c r="Q8" s="592">
        <v>2774945</v>
      </c>
      <c r="R8" s="617">
        <f t="shared" si="5"/>
        <v>2774.9450000000002</v>
      </c>
      <c r="V8" s="654">
        <v>0</v>
      </c>
      <c r="W8" s="654">
        <v>0</v>
      </c>
      <c r="X8" s="654">
        <v>0</v>
      </c>
      <c r="Y8" s="654">
        <v>0</v>
      </c>
      <c r="Z8" s="654">
        <v>0</v>
      </c>
      <c r="AA8" s="654">
        <v>0</v>
      </c>
      <c r="AB8" s="654"/>
      <c r="AC8" s="654">
        <v>0</v>
      </c>
      <c r="AD8" s="654">
        <v>554.98900000000003</v>
      </c>
      <c r="AE8" s="449">
        <v>554.98900000000003</v>
      </c>
      <c r="AF8" s="449">
        <v>554.98900000000003</v>
      </c>
      <c r="AG8" s="449">
        <v>554.98900000000003</v>
      </c>
      <c r="AH8" s="450">
        <v>554.98900000000003</v>
      </c>
      <c r="AI8" s="450">
        <v>554.98900000000003</v>
      </c>
      <c r="AJ8" s="450">
        <v>554.98900000000003</v>
      </c>
      <c r="AK8" s="595"/>
      <c r="AL8" s="451"/>
      <c r="AM8" s="451"/>
      <c r="AN8" s="451"/>
      <c r="AO8" s="451"/>
      <c r="AP8" s="451"/>
      <c r="AQ8" s="454">
        <f t="shared" si="2"/>
        <v>3329.9340000000002</v>
      </c>
      <c r="AR8" s="619">
        <f t="shared" si="4"/>
        <v>3329.9340000000002</v>
      </c>
      <c r="AS8" s="596">
        <f t="shared" si="3"/>
        <v>0</v>
      </c>
      <c r="AT8" s="597" t="s">
        <v>368</v>
      </c>
      <c r="AU8" s="658" t="s">
        <v>336</v>
      </c>
    </row>
    <row r="9" spans="2:53" x14ac:dyDescent="0.25">
      <c r="B9" s="462" t="s">
        <v>281</v>
      </c>
      <c r="C9" s="457" t="s">
        <v>130</v>
      </c>
      <c r="D9" s="457" t="s">
        <v>131</v>
      </c>
      <c r="E9" s="443">
        <v>722.42100000000005</v>
      </c>
      <c r="F9" s="458">
        <v>45241</v>
      </c>
      <c r="G9" s="458">
        <v>45417</v>
      </c>
      <c r="H9" s="458">
        <v>45237</v>
      </c>
      <c r="I9" s="452">
        <v>6</v>
      </c>
      <c r="J9" s="443">
        <f t="shared" si="1"/>
        <v>120.40350000000001</v>
      </c>
      <c r="K9" s="468">
        <v>120.4</v>
      </c>
      <c r="L9" s="447">
        <v>240.81</v>
      </c>
      <c r="M9" s="447">
        <v>361.21</v>
      </c>
      <c r="N9" s="447">
        <v>481.61</v>
      </c>
      <c r="O9" s="470">
        <f t="shared" si="0"/>
        <v>481.61399999999998</v>
      </c>
      <c r="P9" s="616" t="s">
        <v>337</v>
      </c>
      <c r="Q9" s="592">
        <v>481614</v>
      </c>
      <c r="R9" s="617">
        <f t="shared" si="5"/>
        <v>481.61399999999998</v>
      </c>
      <c r="V9" s="654">
        <v>0</v>
      </c>
      <c r="W9" s="654">
        <v>0</v>
      </c>
      <c r="X9" s="654">
        <v>0</v>
      </c>
      <c r="Y9" s="654">
        <v>0</v>
      </c>
      <c r="Z9" s="654">
        <v>0</v>
      </c>
      <c r="AA9" s="654">
        <v>0</v>
      </c>
      <c r="AB9" s="654">
        <v>0</v>
      </c>
      <c r="AC9" s="654">
        <v>120.40350000000001</v>
      </c>
      <c r="AD9" s="654">
        <v>120.40350000000001</v>
      </c>
      <c r="AE9" s="449">
        <v>120.40350000000001</v>
      </c>
      <c r="AF9" s="449">
        <v>120.40350000000001</v>
      </c>
      <c r="AG9" s="449">
        <v>120.40350000000001</v>
      </c>
      <c r="AH9" s="450">
        <v>120.40350000000001</v>
      </c>
      <c r="AI9" s="450">
        <v>0</v>
      </c>
      <c r="AJ9" s="450"/>
      <c r="AK9" s="595"/>
      <c r="AL9" s="451"/>
      <c r="AM9" s="451"/>
      <c r="AN9" s="451"/>
      <c r="AO9" s="451"/>
      <c r="AP9" s="451"/>
      <c r="AQ9" s="454">
        <f t="shared" si="2"/>
        <v>481.61400000000003</v>
      </c>
      <c r="AR9" s="619">
        <f t="shared" si="4"/>
        <v>722.42100000000005</v>
      </c>
      <c r="AS9" s="596">
        <f t="shared" si="3"/>
        <v>0</v>
      </c>
      <c r="AT9" s="597" t="s">
        <v>367</v>
      </c>
      <c r="AU9" s="659" t="s">
        <v>337</v>
      </c>
    </row>
    <row r="10" spans="2:53" x14ac:dyDescent="0.25">
      <c r="B10" s="462" t="s">
        <v>282</v>
      </c>
      <c r="C10" s="457" t="s">
        <v>130</v>
      </c>
      <c r="D10" s="457" t="s">
        <v>131</v>
      </c>
      <c r="E10" s="443">
        <v>8885.8369999999995</v>
      </c>
      <c r="F10" s="458">
        <v>45241</v>
      </c>
      <c r="G10" s="458">
        <v>45423</v>
      </c>
      <c r="H10" s="458">
        <v>45275</v>
      </c>
      <c r="I10" s="452">
        <v>6</v>
      </c>
      <c r="J10" s="443">
        <f t="shared" si="1"/>
        <v>1480.9728333333333</v>
      </c>
      <c r="K10" s="447">
        <v>1480.97</v>
      </c>
      <c r="L10" s="447">
        <v>2961.95</v>
      </c>
      <c r="M10" s="447">
        <v>4442.92</v>
      </c>
      <c r="N10" s="447">
        <v>5923.89</v>
      </c>
      <c r="O10" s="470">
        <f t="shared" si="0"/>
        <v>7404.8641666666663</v>
      </c>
      <c r="P10" s="616" t="s">
        <v>338</v>
      </c>
      <c r="Q10" s="592">
        <v>7404864.166666666</v>
      </c>
      <c r="R10" s="617">
        <f t="shared" si="5"/>
        <v>7404.8641666666663</v>
      </c>
      <c r="V10" s="656">
        <v>0</v>
      </c>
      <c r="W10" s="656">
        <v>0</v>
      </c>
      <c r="X10" s="656">
        <v>0</v>
      </c>
      <c r="Y10" s="656">
        <v>0</v>
      </c>
      <c r="Z10" s="654">
        <v>0</v>
      </c>
      <c r="AA10" s="654">
        <v>0</v>
      </c>
      <c r="AB10" s="654">
        <v>0</v>
      </c>
      <c r="AC10" s="654">
        <v>0</v>
      </c>
      <c r="AD10" s="654">
        <v>1480.9728333333333</v>
      </c>
      <c r="AE10" s="449">
        <v>1480.9728333333333</v>
      </c>
      <c r="AF10" s="449">
        <v>1480.9728333333333</v>
      </c>
      <c r="AG10" s="449">
        <v>1480.9728333333333</v>
      </c>
      <c r="AH10" s="450">
        <v>1480.9728333333333</v>
      </c>
      <c r="AI10" s="450">
        <v>1480.9728333333333</v>
      </c>
      <c r="AJ10" s="450">
        <v>740.48641666666663</v>
      </c>
      <c r="AK10" s="595"/>
      <c r="AL10" s="451"/>
      <c r="AM10" s="451"/>
      <c r="AN10" s="451"/>
      <c r="AO10" s="451"/>
      <c r="AP10" s="451"/>
      <c r="AQ10" s="454">
        <f>SUM(AE10:AP10)</f>
        <v>8145.3505833333329</v>
      </c>
      <c r="AR10" s="449">
        <f t="shared" si="4"/>
        <v>8885.8369999999995</v>
      </c>
      <c r="AS10" s="596">
        <v>0</v>
      </c>
      <c r="AT10" s="597" t="s">
        <v>369</v>
      </c>
      <c r="AU10" s="659" t="s">
        <v>338</v>
      </c>
    </row>
    <row r="11" spans="2:53" x14ac:dyDescent="0.25">
      <c r="B11" s="462" t="s">
        <v>283</v>
      </c>
      <c r="C11" s="457" t="s">
        <v>130</v>
      </c>
      <c r="D11" s="457" t="s">
        <v>131</v>
      </c>
      <c r="E11" s="443">
        <v>4850.9979999999996</v>
      </c>
      <c r="F11" s="458">
        <v>45241</v>
      </c>
      <c r="G11" s="458">
        <v>45423</v>
      </c>
      <c r="H11" s="458">
        <v>45275</v>
      </c>
      <c r="I11" s="452">
        <v>6</v>
      </c>
      <c r="J11" s="443">
        <f t="shared" si="1"/>
        <v>808.4996666666666</v>
      </c>
      <c r="K11" s="447">
        <v>808.5</v>
      </c>
      <c r="L11" s="447">
        <v>1617</v>
      </c>
      <c r="M11" s="447">
        <v>2425.5</v>
      </c>
      <c r="N11" s="447">
        <v>3234</v>
      </c>
      <c r="O11" s="470">
        <f t="shared" si="0"/>
        <v>4042.498333333333</v>
      </c>
      <c r="P11" s="616" t="s">
        <v>339</v>
      </c>
      <c r="Q11" s="592">
        <v>4042498.333333333</v>
      </c>
      <c r="R11" s="617">
        <f>+Q11/1000</f>
        <v>4042.498333333333</v>
      </c>
      <c r="V11" s="656">
        <v>0</v>
      </c>
      <c r="W11" s="656">
        <v>0</v>
      </c>
      <c r="X11" s="656">
        <v>0</v>
      </c>
      <c r="Y11" s="656">
        <v>0</v>
      </c>
      <c r="Z11" s="654">
        <v>0</v>
      </c>
      <c r="AA11" s="654">
        <v>0</v>
      </c>
      <c r="AB11" s="654">
        <v>0</v>
      </c>
      <c r="AC11" s="654">
        <v>0</v>
      </c>
      <c r="AD11" s="654">
        <v>404.25</v>
      </c>
      <c r="AE11" s="449">
        <v>808.5</v>
      </c>
      <c r="AF11" s="449">
        <v>808.5</v>
      </c>
      <c r="AG11" s="449">
        <v>808.5</v>
      </c>
      <c r="AH11" s="450">
        <v>808.5</v>
      </c>
      <c r="AI11" s="450">
        <v>808.5</v>
      </c>
      <c r="AJ11" s="450">
        <v>404.2498333333333</v>
      </c>
      <c r="AK11" s="595"/>
      <c r="AL11" s="451"/>
      <c r="AM11" s="451"/>
      <c r="AN11" s="451"/>
      <c r="AO11" s="451"/>
      <c r="AP11" s="451"/>
      <c r="AQ11" s="454">
        <f t="shared" si="2"/>
        <v>4446.7498333333333</v>
      </c>
      <c r="AR11" s="449">
        <f>V11+W11+X11+Y11+Z11+AA11+AB11+AC11+AD11+AE11+AF11+AG11+AH11+AI11+AJ11</f>
        <v>4850.9998333333333</v>
      </c>
      <c r="AS11" s="596">
        <f>E11-AR11</f>
        <v>-1.8333333337068325E-3</v>
      </c>
      <c r="AT11" s="597" t="s">
        <v>369</v>
      </c>
      <c r="AU11" s="657" t="s">
        <v>339</v>
      </c>
    </row>
    <row r="12" spans="2:53" x14ac:dyDescent="0.25">
      <c r="B12" s="575" t="s">
        <v>370</v>
      </c>
      <c r="C12" s="581" t="s">
        <v>130</v>
      </c>
      <c r="D12" s="581" t="s">
        <v>131</v>
      </c>
      <c r="E12" s="601">
        <v>4446.7470000000003</v>
      </c>
      <c r="F12" s="583">
        <v>45423</v>
      </c>
      <c r="G12" s="583">
        <v>45607</v>
      </c>
      <c r="H12" s="583">
        <v>45427</v>
      </c>
      <c r="I12" s="604">
        <v>6</v>
      </c>
      <c r="J12" s="601">
        <f t="shared" si="1"/>
        <v>741.12450000000001</v>
      </c>
      <c r="K12" s="601">
        <v>0</v>
      </c>
      <c r="L12" s="601">
        <v>0</v>
      </c>
      <c r="M12" s="601">
        <v>0</v>
      </c>
      <c r="N12" s="601">
        <v>0</v>
      </c>
      <c r="O12" s="621">
        <f>+R12</f>
        <v>370.56225000000001</v>
      </c>
      <c r="P12" s="622" t="s">
        <v>372</v>
      </c>
      <c r="Q12" s="608">
        <v>370562.25</v>
      </c>
      <c r="R12" s="608">
        <f>+Q12/1000</f>
        <v>370.56225000000001</v>
      </c>
      <c r="S12" s="606"/>
      <c r="T12" s="623"/>
      <c r="U12" s="609"/>
      <c r="V12" s="656">
        <v>0</v>
      </c>
      <c r="W12" s="656">
        <v>0</v>
      </c>
      <c r="X12" s="656">
        <v>0</v>
      </c>
      <c r="Y12" s="656">
        <v>0</v>
      </c>
      <c r="Z12" s="656">
        <v>0</v>
      </c>
      <c r="AA12" s="656">
        <v>0</v>
      </c>
      <c r="AB12" s="656">
        <v>0</v>
      </c>
      <c r="AC12" s="656">
        <v>0</v>
      </c>
      <c r="AD12" s="656">
        <v>0</v>
      </c>
      <c r="AE12" s="613">
        <v>0</v>
      </c>
      <c r="AF12" s="613">
        <v>0</v>
      </c>
      <c r="AG12" s="613">
        <v>0</v>
      </c>
      <c r="AH12" s="624">
        <v>0</v>
      </c>
      <c r="AI12" s="624">
        <v>370.56</v>
      </c>
      <c r="AJ12" s="624">
        <v>741.12675000000013</v>
      </c>
      <c r="AK12" s="625">
        <v>741.12675000000013</v>
      </c>
      <c r="AL12" s="625"/>
      <c r="AM12" s="625"/>
      <c r="AN12" s="625"/>
      <c r="AO12" s="625"/>
      <c r="AP12" s="625"/>
      <c r="AQ12" s="611">
        <f t="shared" si="2"/>
        <v>1852.8135000000002</v>
      </c>
      <c r="AR12" s="613">
        <f>SUM(AE12:AP12)</f>
        <v>1852.8135000000002</v>
      </c>
      <c r="AS12" s="582">
        <f>E12-AR12</f>
        <v>2593.9335000000001</v>
      </c>
      <c r="AT12" s="614" t="s">
        <v>371</v>
      </c>
      <c r="AU12" s="659" t="s">
        <v>372</v>
      </c>
    </row>
    <row r="13" spans="2:53" ht="18.600000000000001" customHeight="1" x14ac:dyDescent="0.25">
      <c r="B13" s="575" t="s">
        <v>373</v>
      </c>
      <c r="C13" s="581" t="s">
        <v>130</v>
      </c>
      <c r="D13" s="581" t="s">
        <v>131</v>
      </c>
      <c r="E13" s="601">
        <v>662.21699999999998</v>
      </c>
      <c r="F13" s="583">
        <v>45423</v>
      </c>
      <c r="G13" s="583">
        <v>45607</v>
      </c>
      <c r="H13" s="583">
        <v>45427</v>
      </c>
      <c r="I13" s="604">
        <v>6</v>
      </c>
      <c r="J13" s="601">
        <f t="shared" si="1"/>
        <v>110.3695</v>
      </c>
      <c r="K13" s="601">
        <v>0</v>
      </c>
      <c r="L13" s="601">
        <v>0</v>
      </c>
      <c r="M13" s="601">
        <v>0</v>
      </c>
      <c r="N13" s="601">
        <v>0</v>
      </c>
      <c r="O13" s="621">
        <f>+R13</f>
        <v>55.184750000000001</v>
      </c>
      <c r="P13" s="626" t="s">
        <v>374</v>
      </c>
      <c r="Q13" s="608">
        <v>55184.75</v>
      </c>
      <c r="R13" s="608">
        <f>+Q13/1000</f>
        <v>55.184750000000001</v>
      </c>
      <c r="S13" s="606"/>
      <c r="T13" s="623"/>
      <c r="U13" s="609"/>
      <c r="V13" s="656">
        <v>0</v>
      </c>
      <c r="W13" s="656">
        <v>0</v>
      </c>
      <c r="X13" s="656">
        <v>0</v>
      </c>
      <c r="Y13" s="656">
        <v>0</v>
      </c>
      <c r="Z13" s="656">
        <v>0</v>
      </c>
      <c r="AA13" s="656">
        <v>0</v>
      </c>
      <c r="AB13" s="656">
        <v>0</v>
      </c>
      <c r="AC13" s="656">
        <v>0</v>
      </c>
      <c r="AD13" s="656">
        <v>0</v>
      </c>
      <c r="AE13" s="613">
        <v>0</v>
      </c>
      <c r="AF13" s="613">
        <v>0</v>
      </c>
      <c r="AG13" s="613">
        <v>0</v>
      </c>
      <c r="AH13" s="624">
        <v>0</v>
      </c>
      <c r="AI13" s="624">
        <v>55.18</v>
      </c>
      <c r="AJ13" s="624">
        <v>110.3695</v>
      </c>
      <c r="AK13" s="625">
        <v>110.3695</v>
      </c>
      <c r="AL13" s="625"/>
      <c r="AM13" s="625"/>
      <c r="AN13" s="625"/>
      <c r="AO13" s="625"/>
      <c r="AP13" s="625"/>
      <c r="AQ13" s="611">
        <f t="shared" si="2"/>
        <v>275.91899999999998</v>
      </c>
      <c r="AR13" s="613">
        <f t="shared" ref="AR13:AR16" si="6">SUM(AE13:AP13)</f>
        <v>275.91899999999998</v>
      </c>
      <c r="AS13" s="582">
        <f>E13-AR13</f>
        <v>386.298</v>
      </c>
      <c r="AT13" s="614" t="s">
        <v>371</v>
      </c>
      <c r="AU13" s="658" t="s">
        <v>374</v>
      </c>
    </row>
    <row r="14" spans="2:53" ht="18.600000000000001" customHeight="1" x14ac:dyDescent="0.25">
      <c r="B14" s="575" t="s">
        <v>375</v>
      </c>
      <c r="C14" s="581" t="s">
        <v>130</v>
      </c>
      <c r="D14" s="581" t="s">
        <v>131</v>
      </c>
      <c r="E14" s="601">
        <v>644.69399999999996</v>
      </c>
      <c r="F14" s="583">
        <v>45423</v>
      </c>
      <c r="G14" s="583">
        <v>45607</v>
      </c>
      <c r="H14" s="583">
        <v>45427</v>
      </c>
      <c r="I14" s="604">
        <v>6</v>
      </c>
      <c r="J14" s="601">
        <f t="shared" si="1"/>
        <v>107.449</v>
      </c>
      <c r="K14" s="627">
        <v>0</v>
      </c>
      <c r="L14" s="627">
        <v>0</v>
      </c>
      <c r="M14" s="627">
        <v>0</v>
      </c>
      <c r="N14" s="627">
        <v>0</v>
      </c>
      <c r="O14" s="628">
        <f>+R14</f>
        <v>53.724499999999999</v>
      </c>
      <c r="P14" s="629" t="s">
        <v>376</v>
      </c>
      <c r="Q14" s="630">
        <v>53724.5</v>
      </c>
      <c r="R14" s="630">
        <f>+Q14/1000</f>
        <v>53.724499999999999</v>
      </c>
      <c r="S14" s="606"/>
      <c r="T14" s="623"/>
      <c r="U14" s="609"/>
      <c r="V14" s="656">
        <v>0</v>
      </c>
      <c r="W14" s="656">
        <v>0</v>
      </c>
      <c r="X14" s="656">
        <v>0</v>
      </c>
      <c r="Y14" s="656">
        <v>0</v>
      </c>
      <c r="Z14" s="656">
        <v>0</v>
      </c>
      <c r="AA14" s="656">
        <v>0</v>
      </c>
      <c r="AB14" s="656">
        <v>0</v>
      </c>
      <c r="AC14" s="656">
        <v>0</v>
      </c>
      <c r="AD14" s="656">
        <v>0</v>
      </c>
      <c r="AE14" s="613">
        <v>0</v>
      </c>
      <c r="AF14" s="613">
        <v>0</v>
      </c>
      <c r="AG14" s="613">
        <v>0</v>
      </c>
      <c r="AH14" s="624">
        <v>0</v>
      </c>
      <c r="AI14" s="624">
        <v>53.72</v>
      </c>
      <c r="AJ14" s="631">
        <v>107.44</v>
      </c>
      <c r="AK14" s="631">
        <v>107.44</v>
      </c>
      <c r="AL14" s="632"/>
      <c r="AM14" s="632"/>
      <c r="AN14" s="632"/>
      <c r="AO14" s="632"/>
      <c r="AP14" s="632"/>
      <c r="AQ14" s="611">
        <f t="shared" si="2"/>
        <v>268.60000000000002</v>
      </c>
      <c r="AR14" s="613">
        <f t="shared" si="6"/>
        <v>268.60000000000002</v>
      </c>
      <c r="AS14" s="582">
        <f>E14-AR14</f>
        <v>376.09399999999994</v>
      </c>
      <c r="AT14" s="614" t="s">
        <v>371</v>
      </c>
      <c r="AU14" s="658" t="s">
        <v>376</v>
      </c>
    </row>
    <row r="15" spans="2:53" ht="26.25" x14ac:dyDescent="0.25">
      <c r="B15" s="576" t="s">
        <v>593</v>
      </c>
      <c r="C15" s="577" t="s">
        <v>130</v>
      </c>
      <c r="D15" s="577" t="s">
        <v>131</v>
      </c>
      <c r="E15" s="578">
        <v>11209.657999999999</v>
      </c>
      <c r="F15" s="579">
        <v>45423</v>
      </c>
      <c r="G15" s="579">
        <v>45607</v>
      </c>
      <c r="H15" s="633" t="s">
        <v>602</v>
      </c>
      <c r="I15" s="634">
        <v>6</v>
      </c>
      <c r="J15" s="578">
        <f>+E15/I15</f>
        <v>1868.2763333333332</v>
      </c>
      <c r="K15" s="627"/>
      <c r="L15" s="627"/>
      <c r="M15" s="627"/>
      <c r="N15" s="627"/>
      <c r="O15" s="635"/>
      <c r="P15" s="636"/>
      <c r="Q15" s="637"/>
      <c r="R15" s="637"/>
      <c r="S15" s="606"/>
      <c r="T15" s="623"/>
      <c r="U15" s="609"/>
      <c r="V15" s="656"/>
      <c r="W15" s="656"/>
      <c r="X15" s="656"/>
      <c r="Y15" s="656"/>
      <c r="Z15" s="656"/>
      <c r="AA15" s="656"/>
      <c r="AB15" s="656"/>
      <c r="AC15" s="656"/>
      <c r="AD15" s="656"/>
      <c r="AE15" s="613"/>
      <c r="AF15" s="613"/>
      <c r="AG15" s="613"/>
      <c r="AH15" s="624"/>
      <c r="AI15" s="624"/>
      <c r="AJ15" s="624"/>
      <c r="AK15" s="624">
        <v>934.13816666666662</v>
      </c>
      <c r="AL15" s="632"/>
      <c r="AM15" s="632"/>
      <c r="AN15" s="632"/>
      <c r="AO15" s="632"/>
      <c r="AP15" s="632"/>
      <c r="AQ15" s="611">
        <f t="shared" si="2"/>
        <v>934.13816666666662</v>
      </c>
      <c r="AR15" s="613">
        <f t="shared" si="6"/>
        <v>934.13816666666662</v>
      </c>
      <c r="AS15" s="582">
        <f t="shared" ref="AS15:AS16" si="7">E15-AR15</f>
        <v>10275.519833333332</v>
      </c>
      <c r="AT15" s="638" t="s">
        <v>603</v>
      </c>
      <c r="AU15" s="658" t="s">
        <v>604</v>
      </c>
    </row>
    <row r="16" spans="2:53" ht="27" thickBot="1" x14ac:dyDescent="0.3">
      <c r="B16" s="580" t="s">
        <v>593</v>
      </c>
      <c r="C16" s="581" t="s">
        <v>130</v>
      </c>
      <c r="D16" s="581" t="s">
        <v>131</v>
      </c>
      <c r="E16" s="582">
        <v>2789.98</v>
      </c>
      <c r="F16" s="583">
        <v>45439</v>
      </c>
      <c r="G16" s="583">
        <v>45607</v>
      </c>
      <c r="H16" s="639" t="s">
        <v>602</v>
      </c>
      <c r="I16" s="640">
        <v>6</v>
      </c>
      <c r="J16" s="582">
        <f>+E16/I16</f>
        <v>464.99666666666667</v>
      </c>
      <c r="K16" s="627"/>
      <c r="L16" s="627"/>
      <c r="M16" s="627"/>
      <c r="N16" s="627"/>
      <c r="O16" s="635"/>
      <c r="P16" s="636"/>
      <c r="Q16" s="637"/>
      <c r="R16" s="637"/>
      <c r="S16" s="606"/>
      <c r="T16" s="623"/>
      <c r="U16" s="609"/>
      <c r="V16" s="656"/>
      <c r="W16" s="656"/>
      <c r="X16" s="656"/>
      <c r="Y16" s="656"/>
      <c r="Z16" s="656"/>
      <c r="AA16" s="656"/>
      <c r="AB16" s="656"/>
      <c r="AC16" s="656"/>
      <c r="AD16" s="656"/>
      <c r="AE16" s="613"/>
      <c r="AF16" s="613"/>
      <c r="AG16" s="613"/>
      <c r="AH16" s="624"/>
      <c r="AI16" s="624"/>
      <c r="AJ16" s="624"/>
      <c r="AK16" s="624">
        <v>232.49833333333333</v>
      </c>
      <c r="AL16" s="632"/>
      <c r="AM16" s="632"/>
      <c r="AN16" s="632"/>
      <c r="AO16" s="632"/>
      <c r="AP16" s="632"/>
      <c r="AQ16" s="611">
        <f t="shared" si="2"/>
        <v>232.49833333333333</v>
      </c>
      <c r="AR16" s="613">
        <f t="shared" si="6"/>
        <v>232.49833333333333</v>
      </c>
      <c r="AS16" s="582">
        <f t="shared" si="7"/>
        <v>2557.4816666666666</v>
      </c>
      <c r="AT16" s="638" t="s">
        <v>603</v>
      </c>
      <c r="AU16" s="658" t="s">
        <v>605</v>
      </c>
    </row>
    <row r="17" spans="2:46" ht="15.75" thickBot="1" x14ac:dyDescent="0.3">
      <c r="B17" s="471"/>
      <c r="C17" s="472"/>
      <c r="D17" s="472"/>
      <c r="E17" s="473" t="s">
        <v>20</v>
      </c>
      <c r="F17" s="473"/>
      <c r="G17" s="473"/>
      <c r="H17" s="473"/>
      <c r="I17" s="473"/>
      <c r="J17" s="473"/>
      <c r="K17" s="474">
        <f>SUM(K3:K14)</f>
        <v>5329.3327499999996</v>
      </c>
      <c r="L17" s="474">
        <f>SUM(L3:L14)</f>
        <v>11768.65</v>
      </c>
      <c r="M17" s="474">
        <f>SUM(M3:M14)</f>
        <v>17582.079999999998</v>
      </c>
      <c r="N17" s="474">
        <f>SUM(N3:N14)</f>
        <v>23549.690000000002</v>
      </c>
      <c r="O17" s="475">
        <f>SUM(O3:O14)</f>
        <v>28208.532416666665</v>
      </c>
      <c r="P17" s="641"/>
      <c r="Q17" s="642"/>
      <c r="R17" s="643"/>
      <c r="S17" s="644"/>
      <c r="T17" s="645"/>
      <c r="U17" s="642"/>
      <c r="V17" s="653">
        <f t="shared" ref="V17:AJ17" si="8">SUM(V3:V14)</f>
        <v>1180.73</v>
      </c>
      <c r="W17" s="653">
        <f t="shared" si="8"/>
        <v>1180.73</v>
      </c>
      <c r="X17" s="653">
        <f t="shared" si="8"/>
        <v>1180.73</v>
      </c>
      <c r="Y17" s="653">
        <f t="shared" si="8"/>
        <v>1180.73</v>
      </c>
      <c r="Z17" s="653">
        <f t="shared" si="8"/>
        <v>1251.6300000000001</v>
      </c>
      <c r="AA17" s="653">
        <f t="shared" si="8"/>
        <v>1180.73</v>
      </c>
      <c r="AB17" s="653">
        <f t="shared" si="8"/>
        <v>1251.6200000000001</v>
      </c>
      <c r="AC17" s="653">
        <f t="shared" si="8"/>
        <v>3039.8576666666668</v>
      </c>
      <c r="AD17" s="653">
        <f t="shared" si="8"/>
        <v>5480.0694999999996</v>
      </c>
      <c r="AE17" s="476">
        <f>SUM(AE3:AE14)</f>
        <v>5884.3194999999996</v>
      </c>
      <c r="AF17" s="476">
        <f>SUM(AF3:AF14)</f>
        <v>5884.3294999999998</v>
      </c>
      <c r="AG17" s="476">
        <f t="shared" si="8"/>
        <v>5813.4295000000002</v>
      </c>
      <c r="AH17" s="476">
        <f t="shared" si="8"/>
        <v>5967.61175</v>
      </c>
      <c r="AI17" s="477">
        <f t="shared" si="8"/>
        <v>4658.8318333333345</v>
      </c>
      <c r="AJ17" s="477">
        <f t="shared" si="8"/>
        <v>3993.5715000000005</v>
      </c>
      <c r="AK17" s="477">
        <f>SUM(AK3:AK16)</f>
        <v>3460.4827500000001</v>
      </c>
      <c r="AL17" s="478"/>
      <c r="AM17" s="478"/>
      <c r="AN17" s="478"/>
      <c r="AO17" s="478"/>
      <c r="AP17" s="478"/>
      <c r="AQ17" s="646">
        <f>SUM(AQ3:AQ16)</f>
        <v>35662.576333333338</v>
      </c>
      <c r="AR17" s="647">
        <f>SUM(AR3:AR16)</f>
        <v>51293.928083333325</v>
      </c>
      <c r="AS17" s="646">
        <f>SUM(AS3:AS16)</f>
        <v>26868.652916666666</v>
      </c>
      <c r="AT17" s="648"/>
    </row>
    <row r="18" spans="2:46" ht="15.75" thickBot="1" x14ac:dyDescent="0.3">
      <c r="C18" s="472"/>
      <c r="D18" s="472"/>
      <c r="E18" s="473"/>
      <c r="F18" s="473"/>
      <c r="G18" s="473"/>
      <c r="H18" s="473"/>
      <c r="I18" s="473"/>
      <c r="AT18" s="678"/>
    </row>
    <row r="19" spans="2:46" ht="15.95" customHeight="1" thickBot="1" x14ac:dyDescent="0.35">
      <c r="B19" s="993" t="s">
        <v>607</v>
      </c>
      <c r="C19" s="994"/>
      <c r="D19" s="994"/>
      <c r="E19" s="994"/>
      <c r="F19" s="994"/>
      <c r="G19" s="994"/>
      <c r="H19" s="995"/>
      <c r="AK19" s="395"/>
    </row>
    <row r="20" spans="2:46" ht="15" customHeight="1" thickBot="1" x14ac:dyDescent="0.3">
      <c r="B20" s="996" t="s">
        <v>123</v>
      </c>
      <c r="C20" s="998" t="s">
        <v>124</v>
      </c>
      <c r="D20" s="998" t="s">
        <v>125</v>
      </c>
      <c r="E20" s="998" t="s">
        <v>133</v>
      </c>
      <c r="F20" s="1000" t="s">
        <v>611</v>
      </c>
      <c r="G20" s="1001"/>
      <c r="H20" s="998" t="s">
        <v>589</v>
      </c>
    </row>
    <row r="21" spans="2:46" ht="15.75" thickBot="1" x14ac:dyDescent="0.3">
      <c r="B21" s="997"/>
      <c r="C21" s="999"/>
      <c r="D21" s="999"/>
      <c r="E21" s="999"/>
      <c r="F21" s="62" t="s">
        <v>612</v>
      </c>
      <c r="G21" s="679" t="s">
        <v>359</v>
      </c>
      <c r="H21" s="999"/>
    </row>
    <row r="22" spans="2:46" ht="15.75" thickBot="1" x14ac:dyDescent="0.3">
      <c r="B22" s="520" t="s">
        <v>127</v>
      </c>
      <c r="C22" s="521" t="s">
        <v>128</v>
      </c>
      <c r="D22" s="521" t="s">
        <v>129</v>
      </c>
      <c r="E22" s="522">
        <v>14168.793</v>
      </c>
      <c r="F22" s="523">
        <v>44927</v>
      </c>
      <c r="G22" s="445">
        <v>45291</v>
      </c>
      <c r="H22" s="524">
        <v>2.3000000002866727E-2</v>
      </c>
    </row>
    <row r="23" spans="2:46" x14ac:dyDescent="0.25">
      <c r="B23" s="525" t="s">
        <v>127</v>
      </c>
      <c r="C23" s="526" t="s">
        <v>128</v>
      </c>
      <c r="D23" s="526" t="s">
        <v>129</v>
      </c>
      <c r="E23" s="443">
        <v>16018.947</v>
      </c>
      <c r="F23" s="444">
        <v>45292</v>
      </c>
      <c r="G23" s="669">
        <v>45657</v>
      </c>
      <c r="H23" s="527">
        <v>10679.304749999999</v>
      </c>
    </row>
    <row r="24" spans="2:46" x14ac:dyDescent="0.25">
      <c r="B24" s="665" t="s">
        <v>593</v>
      </c>
      <c r="C24" s="457" t="s">
        <v>130</v>
      </c>
      <c r="D24" s="457" t="s">
        <v>131</v>
      </c>
      <c r="E24" s="443">
        <v>11209.657999999999</v>
      </c>
      <c r="F24" s="458">
        <v>45093</v>
      </c>
      <c r="G24" s="670">
        <v>45241</v>
      </c>
      <c r="H24" s="527">
        <v>10275.519833333332</v>
      </c>
    </row>
    <row r="25" spans="2:46" x14ac:dyDescent="0.25">
      <c r="B25" s="666" t="s">
        <v>593</v>
      </c>
      <c r="C25" s="465" t="s">
        <v>130</v>
      </c>
      <c r="D25" s="457" t="s">
        <v>131</v>
      </c>
      <c r="E25" s="443">
        <v>2789.98</v>
      </c>
      <c r="F25" s="458">
        <v>45241</v>
      </c>
      <c r="G25" s="671">
        <v>45423</v>
      </c>
      <c r="H25" s="527">
        <v>2557.4816666666666</v>
      </c>
    </row>
    <row r="26" spans="2:46" x14ac:dyDescent="0.25">
      <c r="B26" s="667" t="s">
        <v>370</v>
      </c>
      <c r="C26" s="457" t="s">
        <v>130</v>
      </c>
      <c r="D26" s="457" t="s">
        <v>131</v>
      </c>
      <c r="E26" s="443">
        <v>4446.7470000000003</v>
      </c>
      <c r="F26" s="458">
        <v>45423</v>
      </c>
      <c r="G26" s="670">
        <v>45607</v>
      </c>
      <c r="H26" s="527">
        <v>2593.9335000000001</v>
      </c>
    </row>
    <row r="27" spans="2:46" x14ac:dyDescent="0.25">
      <c r="B27" s="667" t="s">
        <v>373</v>
      </c>
      <c r="C27" s="457" t="s">
        <v>130</v>
      </c>
      <c r="D27" s="457" t="s">
        <v>131</v>
      </c>
      <c r="E27" s="443">
        <v>662.21699999999998</v>
      </c>
      <c r="F27" s="458">
        <v>45423</v>
      </c>
      <c r="G27" s="670">
        <v>45607</v>
      </c>
      <c r="H27" s="527">
        <v>386.298</v>
      </c>
    </row>
    <row r="28" spans="2:46" ht="15.75" thickBot="1" x14ac:dyDescent="0.3">
      <c r="B28" s="668" t="s">
        <v>375</v>
      </c>
      <c r="C28" s="528" t="s">
        <v>130</v>
      </c>
      <c r="D28" s="528" t="s">
        <v>131</v>
      </c>
      <c r="E28" s="529">
        <v>644.69399999999996</v>
      </c>
      <c r="F28" s="530">
        <v>45423</v>
      </c>
      <c r="G28" s="672">
        <v>45607</v>
      </c>
      <c r="H28" s="531">
        <v>376.09399999999994</v>
      </c>
    </row>
    <row r="29" spans="2:46" ht="15.75" thickBot="1" x14ac:dyDescent="0.3">
      <c r="B29" s="532"/>
      <c r="C29" s="664" t="s">
        <v>19</v>
      </c>
      <c r="D29" s="533"/>
      <c r="E29" s="534" t="s">
        <v>20</v>
      </c>
      <c r="F29" s="533"/>
      <c r="G29" s="533"/>
      <c r="H29" s="535">
        <f>SUM(H22:H28)</f>
        <v>26868.654750000002</v>
      </c>
    </row>
    <row r="30" spans="2:46" x14ac:dyDescent="0.25">
      <c r="C30" s="564"/>
      <c r="E30" s="674"/>
      <c r="H30" s="675">
        <f>AS17</f>
        <v>26868.652916666666</v>
      </c>
    </row>
    <row r="31" spans="2:46" ht="15.75" thickBot="1" x14ac:dyDescent="0.3">
      <c r="C31" s="564"/>
      <c r="E31" s="674"/>
      <c r="H31" s="676">
        <f>H29-H30</f>
        <v>1.8333333355258219E-3</v>
      </c>
    </row>
    <row r="32" spans="2:46" ht="15.75" thickBot="1" x14ac:dyDescent="0.3">
      <c r="C32" s="564"/>
      <c r="E32" s="674"/>
      <c r="H32" s="674"/>
    </row>
    <row r="33" spans="2:9" ht="17.25" thickBot="1" x14ac:dyDescent="0.35">
      <c r="B33" s="993" t="s">
        <v>615</v>
      </c>
      <c r="C33" s="994"/>
      <c r="D33" s="994"/>
      <c r="E33" s="994"/>
      <c r="F33" s="994"/>
      <c r="G33" s="994"/>
      <c r="H33" s="995"/>
    </row>
    <row r="34" spans="2:9" ht="15" customHeight="1" thickBot="1" x14ac:dyDescent="0.3">
      <c r="B34" s="996" t="s">
        <v>123</v>
      </c>
      <c r="C34" s="998" t="s">
        <v>124</v>
      </c>
      <c r="D34" s="998" t="s">
        <v>125</v>
      </c>
      <c r="E34" s="998" t="s">
        <v>133</v>
      </c>
      <c r="F34" s="1000" t="s">
        <v>611</v>
      </c>
      <c r="G34" s="1001"/>
      <c r="H34" s="998" t="s">
        <v>614</v>
      </c>
    </row>
    <row r="35" spans="2:9" ht="15.75" thickBot="1" x14ac:dyDescent="0.3">
      <c r="B35" s="997"/>
      <c r="C35" s="999"/>
      <c r="D35" s="999"/>
      <c r="E35" s="999"/>
      <c r="F35" s="62" t="s">
        <v>612</v>
      </c>
      <c r="G35" s="679" t="s">
        <v>359</v>
      </c>
      <c r="H35" s="999"/>
      <c r="I35" s="31"/>
    </row>
    <row r="36" spans="2:9" x14ac:dyDescent="0.25">
      <c r="B36" s="520" t="s">
        <v>127</v>
      </c>
      <c r="C36" s="521" t="s">
        <v>128</v>
      </c>
      <c r="D36" s="521" t="s">
        <v>129</v>
      </c>
      <c r="E36" s="522">
        <v>14168.793</v>
      </c>
      <c r="F36" s="523">
        <v>44927</v>
      </c>
      <c r="G36" s="569">
        <v>45291</v>
      </c>
      <c r="H36" s="566">
        <v>3542.2000000000003</v>
      </c>
    </row>
    <row r="37" spans="2:9" x14ac:dyDescent="0.25">
      <c r="B37" s="567" t="s">
        <v>127</v>
      </c>
      <c r="C37" s="565" t="s">
        <v>128</v>
      </c>
      <c r="D37" s="565" t="s">
        <v>129</v>
      </c>
      <c r="E37" s="519">
        <v>16018.947</v>
      </c>
      <c r="F37" s="458">
        <v>45292</v>
      </c>
      <c r="G37" s="570">
        <v>45657</v>
      </c>
      <c r="H37" s="568">
        <v>5339.6422499999999</v>
      </c>
    </row>
    <row r="38" spans="2:9" x14ac:dyDescent="0.25">
      <c r="B38" s="567" t="s">
        <v>132</v>
      </c>
      <c r="C38" s="457" t="s">
        <v>130</v>
      </c>
      <c r="D38" s="457" t="s">
        <v>131</v>
      </c>
      <c r="E38" s="519">
        <v>425.35</v>
      </c>
      <c r="F38" s="458">
        <v>45093</v>
      </c>
      <c r="G38" s="570">
        <v>45241</v>
      </c>
      <c r="H38" s="568">
        <v>141.78</v>
      </c>
    </row>
    <row r="39" spans="2:9" x14ac:dyDescent="0.25">
      <c r="B39" s="462" t="s">
        <v>279</v>
      </c>
      <c r="C39" s="457" t="s">
        <v>130</v>
      </c>
      <c r="D39" s="457" t="s">
        <v>131</v>
      </c>
      <c r="E39" s="519">
        <v>9303.7029999999995</v>
      </c>
      <c r="F39" s="458">
        <v>45241</v>
      </c>
      <c r="G39" s="570">
        <v>45607</v>
      </c>
      <c r="H39" s="568">
        <v>6202.4686666666666</v>
      </c>
    </row>
    <row r="40" spans="2:9" x14ac:dyDescent="0.25">
      <c r="B40" s="462" t="s">
        <v>280</v>
      </c>
      <c r="C40" s="457" t="s">
        <v>130</v>
      </c>
      <c r="D40" s="457" t="s">
        <v>131</v>
      </c>
      <c r="E40" s="519">
        <v>703.30200000000002</v>
      </c>
      <c r="F40" s="458">
        <v>45241</v>
      </c>
      <c r="G40" s="570">
        <v>45423</v>
      </c>
      <c r="H40" s="568">
        <v>468.86799999999999</v>
      </c>
    </row>
    <row r="41" spans="2:9" x14ac:dyDescent="0.25">
      <c r="B41" s="462" t="s">
        <v>282</v>
      </c>
      <c r="C41" s="457" t="s">
        <v>130</v>
      </c>
      <c r="D41" s="457" t="s">
        <v>131</v>
      </c>
      <c r="E41" s="519">
        <v>3329.9340000000002</v>
      </c>
      <c r="F41" s="458">
        <v>45241</v>
      </c>
      <c r="G41" s="570">
        <v>45423</v>
      </c>
      <c r="H41" s="568">
        <v>3329.9340000000002</v>
      </c>
    </row>
    <row r="42" spans="2:9" x14ac:dyDescent="0.25">
      <c r="B42" s="462" t="s">
        <v>281</v>
      </c>
      <c r="C42" s="457" t="s">
        <v>130</v>
      </c>
      <c r="D42" s="457" t="s">
        <v>131</v>
      </c>
      <c r="E42" s="519">
        <v>722.42100000000005</v>
      </c>
      <c r="F42" s="458">
        <v>45241</v>
      </c>
      <c r="G42" s="570">
        <v>45417</v>
      </c>
      <c r="H42" s="568">
        <v>481.61400000000003</v>
      </c>
    </row>
    <row r="43" spans="2:9" x14ac:dyDescent="0.25">
      <c r="B43" s="462" t="s">
        <v>282</v>
      </c>
      <c r="C43" s="457" t="s">
        <v>130</v>
      </c>
      <c r="D43" s="457" t="s">
        <v>131</v>
      </c>
      <c r="E43" s="519">
        <v>8885.8369999999995</v>
      </c>
      <c r="F43" s="458">
        <v>45241</v>
      </c>
      <c r="G43" s="570">
        <v>45423</v>
      </c>
      <c r="H43" s="568">
        <v>8145.3505833333329</v>
      </c>
    </row>
    <row r="44" spans="2:9" x14ac:dyDescent="0.25">
      <c r="B44" s="462" t="s">
        <v>283</v>
      </c>
      <c r="C44" s="457" t="s">
        <v>130</v>
      </c>
      <c r="D44" s="457" t="s">
        <v>131</v>
      </c>
      <c r="E44" s="519">
        <v>4850.9979999999996</v>
      </c>
      <c r="F44" s="458">
        <v>45241</v>
      </c>
      <c r="G44" s="570">
        <v>45423</v>
      </c>
      <c r="H44" s="568">
        <v>4446.7498333333333</v>
      </c>
    </row>
    <row r="45" spans="2:9" x14ac:dyDescent="0.25">
      <c r="B45" s="462" t="s">
        <v>370</v>
      </c>
      <c r="C45" s="457" t="s">
        <v>130</v>
      </c>
      <c r="D45" s="457" t="s">
        <v>131</v>
      </c>
      <c r="E45" s="519">
        <v>4446.7470000000003</v>
      </c>
      <c r="F45" s="458">
        <v>45423</v>
      </c>
      <c r="G45" s="570">
        <v>45607</v>
      </c>
      <c r="H45" s="568">
        <v>1852.8135000000002</v>
      </c>
    </row>
    <row r="46" spans="2:9" x14ac:dyDescent="0.25">
      <c r="B46" s="462" t="s">
        <v>373</v>
      </c>
      <c r="C46" s="457" t="s">
        <v>130</v>
      </c>
      <c r="D46" s="457" t="s">
        <v>131</v>
      </c>
      <c r="E46" s="519">
        <v>662.21699999999998</v>
      </c>
      <c r="F46" s="458">
        <v>45423</v>
      </c>
      <c r="G46" s="570">
        <v>45607</v>
      </c>
      <c r="H46" s="568">
        <v>275.91899999999998</v>
      </c>
    </row>
    <row r="47" spans="2:9" x14ac:dyDescent="0.25">
      <c r="B47" s="462" t="s">
        <v>375</v>
      </c>
      <c r="C47" s="457" t="s">
        <v>130</v>
      </c>
      <c r="D47" s="457" t="s">
        <v>131</v>
      </c>
      <c r="E47" s="519">
        <v>644.69399999999996</v>
      </c>
      <c r="F47" s="458">
        <v>45423</v>
      </c>
      <c r="G47" s="570">
        <v>45607</v>
      </c>
      <c r="H47" s="568">
        <v>268.60000000000002</v>
      </c>
    </row>
    <row r="48" spans="2:9" x14ac:dyDescent="0.25">
      <c r="B48" s="462" t="s">
        <v>593</v>
      </c>
      <c r="C48" s="457" t="s">
        <v>130</v>
      </c>
      <c r="D48" s="457" t="s">
        <v>131</v>
      </c>
      <c r="E48" s="519">
        <v>11209.657999999999</v>
      </c>
      <c r="F48" s="458">
        <v>45423</v>
      </c>
      <c r="G48" s="570">
        <v>45607</v>
      </c>
      <c r="H48" s="568">
        <v>934.13816666666662</v>
      </c>
    </row>
    <row r="49" spans="2:15" ht="15.75" thickBot="1" x14ac:dyDescent="0.3">
      <c r="B49" s="464" t="s">
        <v>593</v>
      </c>
      <c r="C49" s="465" t="s">
        <v>130</v>
      </c>
      <c r="D49" s="465" t="s">
        <v>131</v>
      </c>
      <c r="E49" s="585">
        <v>2789.98</v>
      </c>
      <c r="F49" s="467">
        <v>45439</v>
      </c>
      <c r="G49" s="584">
        <v>45607</v>
      </c>
      <c r="H49" s="586">
        <v>232.49833333333333</v>
      </c>
    </row>
    <row r="50" spans="2:15" s="563" customFormat="1" ht="15.75" thickBot="1" x14ac:dyDescent="0.3">
      <c r="B50" s="560" t="s">
        <v>19</v>
      </c>
      <c r="C50" s="587"/>
      <c r="D50" s="587"/>
      <c r="E50" s="588"/>
      <c r="F50" s="587"/>
      <c r="G50" s="589"/>
      <c r="H50" s="590">
        <f>SUM(H36:H49)</f>
        <v>35662.576333333338</v>
      </c>
      <c r="I50" s="564"/>
      <c r="J50" s="562"/>
      <c r="K50" s="562"/>
      <c r="L50" s="562"/>
      <c r="M50" s="562"/>
      <c r="N50" s="562"/>
      <c r="O50" s="562"/>
    </row>
    <row r="51" spans="2:15" ht="15.75" thickBot="1" x14ac:dyDescent="0.3">
      <c r="H51" s="646">
        <f>AQ17</f>
        <v>35662.576333333338</v>
      </c>
    </row>
    <row r="52" spans="2:15" ht="15.75" thickBot="1" x14ac:dyDescent="0.3">
      <c r="H52" s="677">
        <f>H50-H51</f>
        <v>0</v>
      </c>
    </row>
  </sheetData>
  <protectedRanges>
    <protectedRange sqref="AK19" name="Rango1_2"/>
    <protectedRange sqref="AY4" name="Rango1_6"/>
    <protectedRange sqref="AX4" name="Rango1_7"/>
  </protectedRanges>
  <mergeCells count="21">
    <mergeCell ref="AX2:BA2"/>
    <mergeCell ref="B1:J1"/>
    <mergeCell ref="K1:O1"/>
    <mergeCell ref="AE1:AQ1"/>
    <mergeCell ref="AS1:AS2"/>
    <mergeCell ref="AT1:AT2"/>
    <mergeCell ref="AX6:BA6"/>
    <mergeCell ref="B19:H19"/>
    <mergeCell ref="B20:B21"/>
    <mergeCell ref="C20:C21"/>
    <mergeCell ref="D20:D21"/>
    <mergeCell ref="E20:E21"/>
    <mergeCell ref="F20:G20"/>
    <mergeCell ref="H20:H21"/>
    <mergeCell ref="B33:H33"/>
    <mergeCell ref="B34:B35"/>
    <mergeCell ref="C34:C35"/>
    <mergeCell ref="D34:D35"/>
    <mergeCell ref="E34:E35"/>
    <mergeCell ref="F34:G34"/>
    <mergeCell ref="H34:H35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52"/>
  <sheetViews>
    <sheetView topLeftCell="A32" zoomScale="90" zoomScaleNormal="90" workbookViewId="0">
      <selection activeCell="AH24" sqref="AH24"/>
    </sheetView>
  </sheetViews>
  <sheetFormatPr baseColWidth="10" defaultColWidth="9.140625" defaultRowHeight="15" x14ac:dyDescent="0.25"/>
  <cols>
    <col min="1" max="1" width="1.5703125" customWidth="1"/>
    <col min="2" max="2" width="20.5703125" style="479" customWidth="1"/>
    <col min="3" max="3" width="13.42578125" style="31" customWidth="1"/>
    <col min="4" max="4" width="8.42578125" style="31" customWidth="1"/>
    <col min="5" max="5" width="10.85546875" customWidth="1"/>
    <col min="6" max="6" width="10.28515625" style="31" customWidth="1"/>
    <col min="7" max="8" width="8.85546875" style="31" customWidth="1"/>
    <col min="9" max="9" width="7.42578125" style="472" bestFit="1" customWidth="1"/>
    <col min="10" max="10" width="7.7109375" style="31" customWidth="1"/>
    <col min="11" max="12" width="0.140625" style="31" hidden="1" customWidth="1"/>
    <col min="13" max="13" width="1.42578125" style="31" hidden="1" customWidth="1"/>
    <col min="14" max="14" width="0.85546875" style="31" hidden="1" customWidth="1"/>
    <col min="15" max="15" width="1.7109375" style="31" hidden="1" customWidth="1"/>
    <col min="16" max="16" width="0.85546875" hidden="1" customWidth="1"/>
    <col min="17" max="17" width="1.140625" hidden="1" customWidth="1"/>
    <col min="18" max="18" width="1.5703125" hidden="1" customWidth="1"/>
    <col min="19" max="19" width="1.42578125" hidden="1" customWidth="1"/>
    <col min="20" max="20" width="1.85546875" hidden="1" customWidth="1"/>
    <col min="21" max="21" width="6.5703125" hidden="1" customWidth="1"/>
    <col min="22" max="30" width="0.85546875" customWidth="1"/>
    <col min="31" max="37" width="6.5703125" bestFit="1" customWidth="1"/>
    <col min="38" max="40" width="0.85546875" customWidth="1"/>
    <col min="41" max="41" width="5.7109375" bestFit="1" customWidth="1"/>
    <col min="42" max="42" width="0.85546875" customWidth="1"/>
    <col min="43" max="43" width="9.140625" customWidth="1"/>
    <col min="44" max="44" width="13" customWidth="1"/>
    <col min="45" max="45" width="10.140625" customWidth="1"/>
    <col min="46" max="46" width="10.140625" bestFit="1" customWidth="1"/>
    <col min="47" max="47" width="11.85546875" bestFit="1" customWidth="1"/>
    <col min="48" max="48" width="2.42578125" customWidth="1"/>
    <col min="49" max="49" width="2.140625" customWidth="1"/>
    <col min="50" max="50" width="30" customWidth="1"/>
    <col min="52" max="53" width="11.140625" bestFit="1" customWidth="1"/>
  </cols>
  <sheetData>
    <row r="1" spans="2:53" ht="15.75" customHeight="1" thickBot="1" x14ac:dyDescent="0.3">
      <c r="B1" s="1004" t="s">
        <v>355</v>
      </c>
      <c r="C1" s="1005"/>
      <c r="D1" s="1005"/>
      <c r="E1" s="1005"/>
      <c r="F1" s="1005"/>
      <c r="G1" s="1005"/>
      <c r="H1" s="1005"/>
      <c r="I1" s="1005"/>
      <c r="J1" s="1006"/>
      <c r="K1" s="1007" t="s">
        <v>356</v>
      </c>
      <c r="L1" s="1008"/>
      <c r="M1" s="1008"/>
      <c r="N1" s="1008"/>
      <c r="O1" s="1009"/>
      <c r="P1" s="407"/>
      <c r="Q1" s="407"/>
      <c r="R1" s="407"/>
      <c r="S1" s="407"/>
      <c r="T1" s="407"/>
      <c r="U1" s="407"/>
      <c r="V1" s="660"/>
      <c r="W1" s="660"/>
      <c r="X1" s="660"/>
      <c r="Y1" s="660"/>
      <c r="Z1" s="660"/>
      <c r="AA1" s="660"/>
      <c r="AB1" s="660"/>
      <c r="AC1" s="660"/>
      <c r="AD1" s="660"/>
      <c r="AE1" s="1010" t="s">
        <v>357</v>
      </c>
      <c r="AF1" s="1010"/>
      <c r="AG1" s="1010"/>
      <c r="AH1" s="1010"/>
      <c r="AI1" s="1010"/>
      <c r="AJ1" s="1010"/>
      <c r="AK1" s="1010"/>
      <c r="AL1" s="1010"/>
      <c r="AM1" s="1010"/>
      <c r="AN1" s="1010"/>
      <c r="AO1" s="1010"/>
      <c r="AP1" s="1010"/>
      <c r="AQ1" s="1010"/>
      <c r="AR1" s="435"/>
      <c r="AS1" s="1011" t="s">
        <v>607</v>
      </c>
      <c r="AT1" s="1013" t="s">
        <v>329</v>
      </c>
      <c r="AU1" t="s">
        <v>20</v>
      </c>
    </row>
    <row r="2" spans="2:53" ht="41.25" thickBot="1" x14ac:dyDescent="0.4">
      <c r="B2" s="436" t="s">
        <v>123</v>
      </c>
      <c r="C2" s="62" t="s">
        <v>124</v>
      </c>
      <c r="D2" s="62" t="s">
        <v>125</v>
      </c>
      <c r="E2" s="355" t="s">
        <v>133</v>
      </c>
      <c r="F2" s="355" t="s">
        <v>358</v>
      </c>
      <c r="G2" s="62" t="s">
        <v>359</v>
      </c>
      <c r="H2" s="355" t="s">
        <v>126</v>
      </c>
      <c r="I2" s="437" t="s">
        <v>360</v>
      </c>
      <c r="J2" s="437" t="s">
        <v>361</v>
      </c>
      <c r="K2" s="438">
        <v>45292</v>
      </c>
      <c r="L2" s="438">
        <v>45323</v>
      </c>
      <c r="M2" s="438">
        <v>45352</v>
      </c>
      <c r="N2" s="438">
        <v>45383</v>
      </c>
      <c r="O2" s="438">
        <v>45413</v>
      </c>
      <c r="Q2" t="s">
        <v>594</v>
      </c>
      <c r="R2" t="s">
        <v>595</v>
      </c>
      <c r="V2" s="591">
        <v>45017</v>
      </c>
      <c r="W2" s="439">
        <v>45047</v>
      </c>
      <c r="X2" s="439">
        <v>45078</v>
      </c>
      <c r="Y2" s="439">
        <v>45108</v>
      </c>
      <c r="Z2" s="439">
        <v>45139</v>
      </c>
      <c r="AA2" s="439">
        <v>45170</v>
      </c>
      <c r="AB2" s="439">
        <v>45200</v>
      </c>
      <c r="AC2" s="439">
        <v>45231</v>
      </c>
      <c r="AD2" s="439">
        <v>45261</v>
      </c>
      <c r="AE2" s="440">
        <v>45292</v>
      </c>
      <c r="AF2" s="440">
        <v>45323</v>
      </c>
      <c r="AG2" s="440">
        <v>45352</v>
      </c>
      <c r="AH2" s="440">
        <v>45383</v>
      </c>
      <c r="AI2" s="441">
        <v>45413</v>
      </c>
      <c r="AJ2" s="441">
        <v>45444</v>
      </c>
      <c r="AK2" s="441">
        <v>45474</v>
      </c>
      <c r="AL2" s="441">
        <v>45505</v>
      </c>
      <c r="AM2" s="441">
        <v>45536</v>
      </c>
      <c r="AN2" s="441">
        <v>45566</v>
      </c>
      <c r="AO2" s="441">
        <v>45597</v>
      </c>
      <c r="AP2" s="441">
        <v>45627</v>
      </c>
      <c r="AQ2" s="441" t="s">
        <v>362</v>
      </c>
      <c r="AR2" s="442" t="s">
        <v>19</v>
      </c>
      <c r="AS2" s="1012"/>
      <c r="AT2" s="1014"/>
      <c r="AX2" s="1015" t="s">
        <v>596</v>
      </c>
      <c r="AY2" s="1016"/>
      <c r="AZ2" s="1016"/>
      <c r="BA2" s="1017"/>
    </row>
    <row r="3" spans="2:53" ht="27.75" thickBot="1" x14ac:dyDescent="0.3">
      <c r="B3" s="520" t="s">
        <v>127</v>
      </c>
      <c r="C3" s="521" t="s">
        <v>128</v>
      </c>
      <c r="D3" s="521" t="s">
        <v>129</v>
      </c>
      <c r="E3" s="443">
        <v>14168.793</v>
      </c>
      <c r="F3" s="444">
        <v>44927</v>
      </c>
      <c r="G3" s="445">
        <v>45291</v>
      </c>
      <c r="H3" s="444" t="s">
        <v>363</v>
      </c>
      <c r="I3" s="446">
        <v>12</v>
      </c>
      <c r="J3" s="443">
        <f>E3/I3</f>
        <v>1180.7327499999999</v>
      </c>
      <c r="K3" s="447">
        <v>1180.7327499999999</v>
      </c>
      <c r="L3" s="447">
        <v>2361.4699999999998</v>
      </c>
      <c r="M3" s="447">
        <v>3542.2</v>
      </c>
      <c r="N3" s="447">
        <v>3542.2</v>
      </c>
      <c r="O3" s="448">
        <f t="shared" ref="O3:O11" si="0">+R3</f>
        <v>3542.1982499999999</v>
      </c>
      <c r="P3" t="s">
        <v>333</v>
      </c>
      <c r="Q3" s="592">
        <v>3542198.25</v>
      </c>
      <c r="R3" s="593">
        <f>+Q3/1000</f>
        <v>3542.1982499999999</v>
      </c>
      <c r="U3" s="594"/>
      <c r="V3" s="654">
        <v>1180.73</v>
      </c>
      <c r="W3" s="654">
        <v>1180.73</v>
      </c>
      <c r="X3" s="654">
        <v>1180.73</v>
      </c>
      <c r="Y3" s="654">
        <v>1180.73</v>
      </c>
      <c r="Z3" s="654">
        <v>1180.73</v>
      </c>
      <c r="AA3" s="654">
        <v>1180.73</v>
      </c>
      <c r="AB3" s="654">
        <v>1180.73</v>
      </c>
      <c r="AC3" s="654">
        <v>1180.73</v>
      </c>
      <c r="AD3" s="654">
        <v>1180.73</v>
      </c>
      <c r="AE3" s="449">
        <v>1180.73</v>
      </c>
      <c r="AF3" s="449">
        <v>1180.74</v>
      </c>
      <c r="AG3" s="449">
        <v>1180.73</v>
      </c>
      <c r="AH3" s="450">
        <v>0</v>
      </c>
      <c r="AI3" s="450">
        <v>0</v>
      </c>
      <c r="AJ3" s="450"/>
      <c r="AK3" s="595"/>
      <c r="AL3" s="451"/>
      <c r="AM3" s="451"/>
      <c r="AN3" s="451"/>
      <c r="AO3" s="451"/>
      <c r="AP3" s="451"/>
      <c r="AQ3" s="454">
        <f>SUM(AE3:AP3)</f>
        <v>3542.2000000000003</v>
      </c>
      <c r="AR3" s="449">
        <f>V3+W3+X3+Y3+Z3+AA3+AB3+AC3+AD3+AE3+AF3+AG3+AH3+AI3</f>
        <v>14168.769999999997</v>
      </c>
      <c r="AS3" s="596">
        <f>+E3-AR3</f>
        <v>2.3000000002866727E-2</v>
      </c>
      <c r="AT3" s="597" t="s">
        <v>364</v>
      </c>
      <c r="AU3" s="657" t="s">
        <v>333</v>
      </c>
      <c r="AX3" s="649" t="s">
        <v>597</v>
      </c>
      <c r="AY3" s="598" t="s">
        <v>598</v>
      </c>
      <c r="AZ3" s="650">
        <v>463396.35666666797</v>
      </c>
      <c r="BA3" s="651"/>
    </row>
    <row r="4" spans="2:53" x14ac:dyDescent="0.25">
      <c r="B4" s="599" t="s">
        <v>127</v>
      </c>
      <c r="C4" s="600" t="s">
        <v>128</v>
      </c>
      <c r="D4" s="600" t="s">
        <v>129</v>
      </c>
      <c r="E4" s="601">
        <v>16018.947</v>
      </c>
      <c r="F4" s="602">
        <v>45292</v>
      </c>
      <c r="G4" s="603">
        <v>45657</v>
      </c>
      <c r="H4" s="602">
        <v>45406</v>
      </c>
      <c r="I4" s="604">
        <v>12</v>
      </c>
      <c r="J4" s="601">
        <f t="shared" ref="J4:J14" si="1">E4/I4</f>
        <v>1334.9122500000001</v>
      </c>
      <c r="K4" s="601">
        <v>0</v>
      </c>
      <c r="L4" s="601">
        <v>0</v>
      </c>
      <c r="M4" s="601">
        <v>0</v>
      </c>
      <c r="N4" s="601">
        <v>1334.91</v>
      </c>
      <c r="O4" s="605">
        <f>+R4</f>
        <v>2669.8245000000002</v>
      </c>
      <c r="P4" s="606" t="s">
        <v>366</v>
      </c>
      <c r="Q4" s="607">
        <v>2669824.5</v>
      </c>
      <c r="R4" s="608">
        <f>+Q4/1000</f>
        <v>2669.8245000000002</v>
      </c>
      <c r="S4" s="606"/>
      <c r="T4" s="606"/>
      <c r="U4" s="609"/>
      <c r="V4" s="655">
        <v>0</v>
      </c>
      <c r="W4" s="655">
        <v>0</v>
      </c>
      <c r="X4" s="655">
        <v>0</v>
      </c>
      <c r="Y4" s="655">
        <v>0</v>
      </c>
      <c r="Z4" s="655">
        <v>0</v>
      </c>
      <c r="AA4" s="655">
        <v>0</v>
      </c>
      <c r="AB4" s="655">
        <v>0</v>
      </c>
      <c r="AC4" s="655">
        <v>0</v>
      </c>
      <c r="AD4" s="655">
        <v>0</v>
      </c>
      <c r="AE4" s="610">
        <v>0</v>
      </c>
      <c r="AF4" s="610">
        <v>0</v>
      </c>
      <c r="AG4" s="610">
        <v>0</v>
      </c>
      <c r="AH4" s="611">
        <v>1334.9122500000001</v>
      </c>
      <c r="AI4" s="611">
        <v>1334.91</v>
      </c>
      <c r="AJ4" s="611">
        <v>1334.91</v>
      </c>
      <c r="AK4" s="611">
        <v>1334.91</v>
      </c>
      <c r="AL4" s="612"/>
      <c r="AM4" s="612"/>
      <c r="AN4" s="612"/>
      <c r="AO4" s="612"/>
      <c r="AP4" s="612"/>
      <c r="AQ4" s="611">
        <f t="shared" ref="AQ4:AQ16" si="2">SUM(AE4:AP4)</f>
        <v>5339.6422499999999</v>
      </c>
      <c r="AR4" s="613">
        <f>V4+W4+X4+Y4+Z4+AA4+AB4+AC4+AD4+AE4+AF4+AG4+AH4+AI4+AJ4+AK4</f>
        <v>5339.6422499999999</v>
      </c>
      <c r="AS4" s="582">
        <f t="shared" ref="AS4:AS9" si="3">E4-AR4</f>
        <v>10679.304749999999</v>
      </c>
      <c r="AT4" s="614" t="s">
        <v>365</v>
      </c>
      <c r="AU4" s="657" t="s">
        <v>366</v>
      </c>
      <c r="AX4" s="651" t="s">
        <v>599</v>
      </c>
      <c r="AY4" s="652" t="s">
        <v>600</v>
      </c>
      <c r="AZ4" s="651"/>
      <c r="BA4" s="650">
        <f>+AZ3</f>
        <v>463396.35666666797</v>
      </c>
    </row>
    <row r="5" spans="2:53" x14ac:dyDescent="0.25">
      <c r="B5" s="456" t="s">
        <v>132</v>
      </c>
      <c r="C5" s="457" t="s">
        <v>130</v>
      </c>
      <c r="D5" s="457" t="s">
        <v>131</v>
      </c>
      <c r="E5" s="443">
        <v>425.35</v>
      </c>
      <c r="F5" s="458">
        <v>45093</v>
      </c>
      <c r="G5" s="458">
        <v>45241</v>
      </c>
      <c r="H5" s="458">
        <v>45167</v>
      </c>
      <c r="I5" s="452">
        <v>6</v>
      </c>
      <c r="J5" s="443">
        <f>E5/I5</f>
        <v>70.891666666666666</v>
      </c>
      <c r="K5" s="447">
        <v>70.89</v>
      </c>
      <c r="L5" s="447">
        <v>141.78</v>
      </c>
      <c r="M5" s="459">
        <v>141.78</v>
      </c>
      <c r="N5" s="459">
        <v>141.78</v>
      </c>
      <c r="O5" s="460">
        <v>141.78</v>
      </c>
      <c r="Q5" s="592"/>
      <c r="R5" s="593"/>
      <c r="U5" s="594"/>
      <c r="V5" s="655">
        <v>0</v>
      </c>
      <c r="W5" s="655">
        <v>0</v>
      </c>
      <c r="X5" s="655">
        <v>0</v>
      </c>
      <c r="Y5" s="655">
        <v>0</v>
      </c>
      <c r="Z5" s="655">
        <v>70.900000000000006</v>
      </c>
      <c r="AA5" s="655">
        <v>0</v>
      </c>
      <c r="AB5" s="655">
        <v>70.89</v>
      </c>
      <c r="AC5" s="655">
        <v>70.89</v>
      </c>
      <c r="AD5" s="655">
        <v>70.89</v>
      </c>
      <c r="AE5" s="453">
        <v>70.89</v>
      </c>
      <c r="AF5" s="453">
        <v>70.89</v>
      </c>
      <c r="AG5" s="596">
        <v>0</v>
      </c>
      <c r="AH5" s="454">
        <v>0</v>
      </c>
      <c r="AI5" s="454">
        <v>0</v>
      </c>
      <c r="AJ5" s="454"/>
      <c r="AK5" s="615"/>
      <c r="AL5" s="455"/>
      <c r="AM5" s="455"/>
      <c r="AN5" s="455"/>
      <c r="AO5" s="455"/>
      <c r="AP5" s="455"/>
      <c r="AQ5" s="454">
        <f t="shared" si="2"/>
        <v>141.78</v>
      </c>
      <c r="AR5" s="449">
        <f t="shared" ref="AR5:AR10" si="4">V5+W5+X5+Y5+Z5+AA5+AB5+AC5+AD5+AE5+AF5+AG5+AH5+AI5</f>
        <v>425.34999999999997</v>
      </c>
      <c r="AS5" s="596">
        <f t="shared" si="3"/>
        <v>0</v>
      </c>
      <c r="AT5" s="597" t="s">
        <v>606</v>
      </c>
      <c r="AU5" s="658" t="s">
        <v>340</v>
      </c>
    </row>
    <row r="6" spans="2:53" ht="15" customHeight="1" x14ac:dyDescent="0.25">
      <c r="B6" s="461" t="s">
        <v>279</v>
      </c>
      <c r="C6" s="457" t="s">
        <v>130</v>
      </c>
      <c r="D6" s="457" t="s">
        <v>131</v>
      </c>
      <c r="E6" s="443">
        <v>9303.7029999999995</v>
      </c>
      <c r="F6" s="458">
        <v>45241</v>
      </c>
      <c r="G6" s="463">
        <v>45607</v>
      </c>
      <c r="H6" s="458">
        <v>45237</v>
      </c>
      <c r="I6" s="452">
        <v>6</v>
      </c>
      <c r="J6" s="443">
        <f t="shared" si="1"/>
        <v>1550.6171666666667</v>
      </c>
      <c r="K6" s="447">
        <v>1550.62</v>
      </c>
      <c r="L6" s="447">
        <v>3101.23</v>
      </c>
      <c r="M6" s="447">
        <v>4651.8500000000004</v>
      </c>
      <c r="N6" s="447">
        <v>6202.47</v>
      </c>
      <c r="O6" s="448">
        <f t="shared" si="0"/>
        <v>6202.4686666666666</v>
      </c>
      <c r="P6" s="616" t="s">
        <v>334</v>
      </c>
      <c r="Q6" s="592">
        <v>6202468.666666667</v>
      </c>
      <c r="R6" s="617">
        <f t="shared" ref="R6:R10" si="5">+Q6/1000</f>
        <v>6202.4686666666666</v>
      </c>
      <c r="V6" s="654">
        <v>0</v>
      </c>
      <c r="W6" s="654">
        <v>0</v>
      </c>
      <c r="X6" s="654">
        <v>0</v>
      </c>
      <c r="Y6" s="654">
        <v>0</v>
      </c>
      <c r="Z6" s="654">
        <v>0</v>
      </c>
      <c r="AA6" s="654">
        <v>0</v>
      </c>
      <c r="AB6" s="654">
        <v>0</v>
      </c>
      <c r="AC6" s="654">
        <v>1550.6171666666667</v>
      </c>
      <c r="AD6" s="654">
        <v>1550.6171666666667</v>
      </c>
      <c r="AE6" s="449">
        <v>1550.6171666666667</v>
      </c>
      <c r="AF6" s="449">
        <v>1550.6171666666667</v>
      </c>
      <c r="AG6" s="449">
        <v>1550.6171666666667</v>
      </c>
      <c r="AH6" s="450">
        <v>1550.6171666666667</v>
      </c>
      <c r="AI6" s="450">
        <v>0</v>
      </c>
      <c r="AJ6" s="450"/>
      <c r="AK6" s="595"/>
      <c r="AL6" s="451"/>
      <c r="AM6" s="451"/>
      <c r="AN6" s="451"/>
      <c r="AO6" s="451"/>
      <c r="AP6" s="451"/>
      <c r="AQ6" s="454">
        <f t="shared" si="2"/>
        <v>6202.4686666666666</v>
      </c>
      <c r="AR6" s="449">
        <f t="shared" si="4"/>
        <v>9303.7029999999995</v>
      </c>
      <c r="AS6" s="596">
        <f t="shared" si="3"/>
        <v>0</v>
      </c>
      <c r="AT6" s="597" t="s">
        <v>367</v>
      </c>
      <c r="AU6" s="659" t="s">
        <v>334</v>
      </c>
      <c r="AX6" s="1002" t="s">
        <v>601</v>
      </c>
      <c r="AY6" s="1002"/>
      <c r="AZ6" s="1002"/>
      <c r="BA6" s="1002"/>
    </row>
    <row r="7" spans="2:53" x14ac:dyDescent="0.25">
      <c r="B7" s="462" t="s">
        <v>280</v>
      </c>
      <c r="C7" s="457" t="s">
        <v>130</v>
      </c>
      <c r="D7" s="457" t="s">
        <v>131</v>
      </c>
      <c r="E7" s="443">
        <v>703.30200000000002</v>
      </c>
      <c r="F7" s="458">
        <v>45241</v>
      </c>
      <c r="G7" s="463">
        <v>45423</v>
      </c>
      <c r="H7" s="458">
        <v>45237</v>
      </c>
      <c r="I7" s="452">
        <v>6</v>
      </c>
      <c r="J7" s="443">
        <f>E7/I7</f>
        <v>117.217</v>
      </c>
      <c r="K7" s="447">
        <v>117.22</v>
      </c>
      <c r="L7" s="447">
        <v>234.43</v>
      </c>
      <c r="M7" s="447">
        <v>351.65</v>
      </c>
      <c r="N7" s="447">
        <v>468.87</v>
      </c>
      <c r="O7" s="448">
        <f t="shared" si="0"/>
        <v>468.86799999999999</v>
      </c>
      <c r="P7" s="616" t="s">
        <v>335</v>
      </c>
      <c r="Q7" s="618">
        <v>468868</v>
      </c>
      <c r="R7" s="617">
        <f t="shared" si="5"/>
        <v>468.86799999999999</v>
      </c>
      <c r="V7" s="654">
        <v>0</v>
      </c>
      <c r="W7" s="654">
        <v>0</v>
      </c>
      <c r="X7" s="654">
        <v>0</v>
      </c>
      <c r="Y7" s="654">
        <v>0</v>
      </c>
      <c r="Z7" s="654">
        <v>0</v>
      </c>
      <c r="AA7" s="654">
        <v>0</v>
      </c>
      <c r="AB7" s="654">
        <v>0</v>
      </c>
      <c r="AC7" s="654">
        <v>117.217</v>
      </c>
      <c r="AD7" s="654">
        <v>117.217</v>
      </c>
      <c r="AE7" s="449">
        <v>117.217</v>
      </c>
      <c r="AF7" s="449">
        <v>117.217</v>
      </c>
      <c r="AG7" s="449">
        <v>117.217</v>
      </c>
      <c r="AH7" s="450">
        <v>117.217</v>
      </c>
      <c r="AI7" s="450">
        <v>0</v>
      </c>
      <c r="AJ7" s="450"/>
      <c r="AK7" s="595"/>
      <c r="AL7" s="451"/>
      <c r="AM7" s="451"/>
      <c r="AN7" s="451"/>
      <c r="AO7" s="451"/>
      <c r="AP7" s="451"/>
      <c r="AQ7" s="454">
        <f t="shared" si="2"/>
        <v>468.86799999999999</v>
      </c>
      <c r="AR7" s="619">
        <f t="shared" si="4"/>
        <v>703.30200000000002</v>
      </c>
      <c r="AS7" s="596">
        <f t="shared" si="3"/>
        <v>0</v>
      </c>
      <c r="AT7" s="597" t="s">
        <v>367</v>
      </c>
      <c r="AU7" s="659" t="s">
        <v>335</v>
      </c>
    </row>
    <row r="8" spans="2:53" ht="12.6" customHeight="1" x14ac:dyDescent="0.25">
      <c r="B8" s="464" t="s">
        <v>282</v>
      </c>
      <c r="C8" s="465" t="s">
        <v>130</v>
      </c>
      <c r="D8" s="457" t="s">
        <v>131</v>
      </c>
      <c r="E8" s="443">
        <v>3329.9340000000002</v>
      </c>
      <c r="F8" s="458">
        <v>45241</v>
      </c>
      <c r="G8" s="466">
        <v>45423</v>
      </c>
      <c r="H8" s="467">
        <v>45286</v>
      </c>
      <c r="I8" s="452">
        <v>6</v>
      </c>
      <c r="J8" s="443">
        <f t="shared" si="1"/>
        <v>554.98900000000003</v>
      </c>
      <c r="K8" s="468">
        <v>0</v>
      </c>
      <c r="L8" s="459">
        <v>1109.98</v>
      </c>
      <c r="M8" s="459">
        <v>1664.97</v>
      </c>
      <c r="N8" s="459">
        <v>2219.96</v>
      </c>
      <c r="O8" s="469">
        <f t="shared" si="0"/>
        <v>2774.9450000000002</v>
      </c>
      <c r="P8" s="620" t="s">
        <v>336</v>
      </c>
      <c r="Q8" s="592">
        <v>2774945</v>
      </c>
      <c r="R8" s="617">
        <f t="shared" si="5"/>
        <v>2774.9450000000002</v>
      </c>
      <c r="V8" s="654">
        <v>0</v>
      </c>
      <c r="W8" s="654">
        <v>0</v>
      </c>
      <c r="X8" s="654">
        <v>0</v>
      </c>
      <c r="Y8" s="654">
        <v>0</v>
      </c>
      <c r="Z8" s="654">
        <v>0</v>
      </c>
      <c r="AA8" s="654">
        <v>0</v>
      </c>
      <c r="AB8" s="654"/>
      <c r="AC8" s="654">
        <v>0</v>
      </c>
      <c r="AD8" s="654">
        <v>554.98900000000003</v>
      </c>
      <c r="AE8" s="449">
        <v>554.98900000000003</v>
      </c>
      <c r="AF8" s="449">
        <v>554.98900000000003</v>
      </c>
      <c r="AG8" s="449">
        <v>554.98900000000003</v>
      </c>
      <c r="AH8" s="450">
        <v>554.98900000000003</v>
      </c>
      <c r="AI8" s="450">
        <v>554.98900000000003</v>
      </c>
      <c r="AJ8" s="450">
        <v>554.98900000000003</v>
      </c>
      <c r="AK8" s="595"/>
      <c r="AL8" s="451"/>
      <c r="AM8" s="451"/>
      <c r="AN8" s="451"/>
      <c r="AO8" s="451"/>
      <c r="AP8" s="451"/>
      <c r="AQ8" s="454">
        <f t="shared" si="2"/>
        <v>3329.9340000000002</v>
      </c>
      <c r="AR8" s="619">
        <f t="shared" si="4"/>
        <v>3329.9340000000002</v>
      </c>
      <c r="AS8" s="596">
        <f t="shared" si="3"/>
        <v>0</v>
      </c>
      <c r="AT8" s="597" t="s">
        <v>368</v>
      </c>
      <c r="AU8" s="658" t="s">
        <v>336</v>
      </c>
    </row>
    <row r="9" spans="2:53" x14ac:dyDescent="0.25">
      <c r="B9" s="462" t="s">
        <v>281</v>
      </c>
      <c r="C9" s="457" t="s">
        <v>130</v>
      </c>
      <c r="D9" s="457" t="s">
        <v>131</v>
      </c>
      <c r="E9" s="443">
        <v>722.42100000000005</v>
      </c>
      <c r="F9" s="458">
        <v>45241</v>
      </c>
      <c r="G9" s="458">
        <v>45417</v>
      </c>
      <c r="H9" s="458">
        <v>45237</v>
      </c>
      <c r="I9" s="452">
        <v>6</v>
      </c>
      <c r="J9" s="443">
        <f t="shared" si="1"/>
        <v>120.40350000000001</v>
      </c>
      <c r="K9" s="468">
        <v>120.4</v>
      </c>
      <c r="L9" s="447">
        <v>240.81</v>
      </c>
      <c r="M9" s="447">
        <v>361.21</v>
      </c>
      <c r="N9" s="447">
        <v>481.61</v>
      </c>
      <c r="O9" s="470">
        <f t="shared" si="0"/>
        <v>481.61399999999998</v>
      </c>
      <c r="P9" s="616" t="s">
        <v>337</v>
      </c>
      <c r="Q9" s="592">
        <v>481614</v>
      </c>
      <c r="R9" s="617">
        <f t="shared" si="5"/>
        <v>481.61399999999998</v>
      </c>
      <c r="V9" s="654">
        <v>0</v>
      </c>
      <c r="W9" s="654">
        <v>0</v>
      </c>
      <c r="X9" s="654">
        <v>0</v>
      </c>
      <c r="Y9" s="654">
        <v>0</v>
      </c>
      <c r="Z9" s="654">
        <v>0</v>
      </c>
      <c r="AA9" s="654">
        <v>0</v>
      </c>
      <c r="AB9" s="654">
        <v>0</v>
      </c>
      <c r="AC9" s="654">
        <v>120.40350000000001</v>
      </c>
      <c r="AD9" s="654">
        <v>120.40350000000001</v>
      </c>
      <c r="AE9" s="449">
        <v>120.40350000000001</v>
      </c>
      <c r="AF9" s="449">
        <v>120.40350000000001</v>
      </c>
      <c r="AG9" s="449">
        <v>120.40350000000001</v>
      </c>
      <c r="AH9" s="450">
        <v>120.40350000000001</v>
      </c>
      <c r="AI9" s="450">
        <v>0</v>
      </c>
      <c r="AJ9" s="450"/>
      <c r="AK9" s="595"/>
      <c r="AL9" s="451"/>
      <c r="AM9" s="451"/>
      <c r="AN9" s="451"/>
      <c r="AO9" s="451"/>
      <c r="AP9" s="451"/>
      <c r="AQ9" s="454">
        <f t="shared" si="2"/>
        <v>481.61400000000003</v>
      </c>
      <c r="AR9" s="619">
        <f t="shared" si="4"/>
        <v>722.42100000000005</v>
      </c>
      <c r="AS9" s="596">
        <f t="shared" si="3"/>
        <v>0</v>
      </c>
      <c r="AT9" s="597" t="s">
        <v>367</v>
      </c>
      <c r="AU9" s="659" t="s">
        <v>337</v>
      </c>
    </row>
    <row r="10" spans="2:53" x14ac:dyDescent="0.25">
      <c r="B10" s="462" t="s">
        <v>282</v>
      </c>
      <c r="C10" s="457" t="s">
        <v>130</v>
      </c>
      <c r="D10" s="457" t="s">
        <v>131</v>
      </c>
      <c r="E10" s="443">
        <v>8885.8369999999995</v>
      </c>
      <c r="F10" s="458">
        <v>45241</v>
      </c>
      <c r="G10" s="458">
        <v>45423</v>
      </c>
      <c r="H10" s="458">
        <v>45275</v>
      </c>
      <c r="I10" s="452">
        <v>6</v>
      </c>
      <c r="J10" s="443">
        <f t="shared" si="1"/>
        <v>1480.9728333333333</v>
      </c>
      <c r="K10" s="447">
        <v>1480.97</v>
      </c>
      <c r="L10" s="447">
        <v>2961.95</v>
      </c>
      <c r="M10" s="447">
        <v>4442.92</v>
      </c>
      <c r="N10" s="447">
        <v>5923.89</v>
      </c>
      <c r="O10" s="470">
        <f t="shared" si="0"/>
        <v>7404.8641666666663</v>
      </c>
      <c r="P10" s="616" t="s">
        <v>338</v>
      </c>
      <c r="Q10" s="592">
        <v>7404864.166666666</v>
      </c>
      <c r="R10" s="617">
        <f t="shared" si="5"/>
        <v>7404.8641666666663</v>
      </c>
      <c r="V10" s="656">
        <v>0</v>
      </c>
      <c r="W10" s="656">
        <v>0</v>
      </c>
      <c r="X10" s="656">
        <v>0</v>
      </c>
      <c r="Y10" s="656">
        <v>0</v>
      </c>
      <c r="Z10" s="654">
        <v>0</v>
      </c>
      <c r="AA10" s="654">
        <v>0</v>
      </c>
      <c r="AB10" s="654">
        <v>0</v>
      </c>
      <c r="AC10" s="654">
        <v>0</v>
      </c>
      <c r="AD10" s="654">
        <v>1480.9728333333333</v>
      </c>
      <c r="AE10" s="449">
        <v>1480.9728333333333</v>
      </c>
      <c r="AF10" s="449">
        <v>1480.9728333333333</v>
      </c>
      <c r="AG10" s="449">
        <v>1480.9728333333333</v>
      </c>
      <c r="AH10" s="450">
        <v>1480.9728333333333</v>
      </c>
      <c r="AI10" s="450">
        <v>1480.9728333333333</v>
      </c>
      <c r="AJ10" s="450">
        <v>740.48641666666663</v>
      </c>
      <c r="AK10" s="595"/>
      <c r="AL10" s="451"/>
      <c r="AM10" s="451"/>
      <c r="AN10" s="451"/>
      <c r="AO10" s="451"/>
      <c r="AP10" s="451"/>
      <c r="AQ10" s="454">
        <f>SUM(AE10:AP10)</f>
        <v>8145.3505833333329</v>
      </c>
      <c r="AR10" s="449">
        <f t="shared" si="4"/>
        <v>8885.8369999999995</v>
      </c>
      <c r="AS10" s="596">
        <v>0</v>
      </c>
      <c r="AT10" s="597" t="s">
        <v>369</v>
      </c>
      <c r="AU10" s="659" t="s">
        <v>338</v>
      </c>
    </row>
    <row r="11" spans="2:53" x14ac:dyDescent="0.25">
      <c r="B11" s="462" t="s">
        <v>283</v>
      </c>
      <c r="C11" s="457" t="s">
        <v>130</v>
      </c>
      <c r="D11" s="457" t="s">
        <v>131</v>
      </c>
      <c r="E11" s="443">
        <v>4850.9979999999996</v>
      </c>
      <c r="F11" s="458">
        <v>45241</v>
      </c>
      <c r="G11" s="458">
        <v>45423</v>
      </c>
      <c r="H11" s="458">
        <v>45275</v>
      </c>
      <c r="I11" s="452">
        <v>6</v>
      </c>
      <c r="J11" s="443">
        <f t="shared" si="1"/>
        <v>808.4996666666666</v>
      </c>
      <c r="K11" s="447">
        <v>808.5</v>
      </c>
      <c r="L11" s="447">
        <v>1617</v>
      </c>
      <c r="M11" s="447">
        <v>2425.5</v>
      </c>
      <c r="N11" s="447">
        <v>3234</v>
      </c>
      <c r="O11" s="470">
        <f t="shared" si="0"/>
        <v>4042.498333333333</v>
      </c>
      <c r="P11" s="616" t="s">
        <v>339</v>
      </c>
      <c r="Q11" s="592">
        <v>4042498.333333333</v>
      </c>
      <c r="R11" s="617">
        <f>+Q11/1000</f>
        <v>4042.498333333333</v>
      </c>
      <c r="V11" s="656">
        <v>0</v>
      </c>
      <c r="W11" s="656">
        <v>0</v>
      </c>
      <c r="X11" s="656">
        <v>0</v>
      </c>
      <c r="Y11" s="656">
        <v>0</v>
      </c>
      <c r="Z11" s="654">
        <v>0</v>
      </c>
      <c r="AA11" s="654">
        <v>0</v>
      </c>
      <c r="AB11" s="654">
        <v>0</v>
      </c>
      <c r="AC11" s="654">
        <v>0</v>
      </c>
      <c r="AD11" s="654">
        <v>404.25</v>
      </c>
      <c r="AE11" s="449">
        <v>808.5</v>
      </c>
      <c r="AF11" s="449">
        <v>808.5</v>
      </c>
      <c r="AG11" s="449">
        <v>808.5</v>
      </c>
      <c r="AH11" s="450">
        <v>808.5</v>
      </c>
      <c r="AI11" s="450">
        <v>808.5</v>
      </c>
      <c r="AJ11" s="450">
        <v>404.2498333333333</v>
      </c>
      <c r="AK11" s="595"/>
      <c r="AL11" s="451"/>
      <c r="AM11" s="451"/>
      <c r="AN11" s="451"/>
      <c r="AO11" s="451"/>
      <c r="AP11" s="451"/>
      <c r="AQ11" s="454">
        <f t="shared" si="2"/>
        <v>4446.7498333333333</v>
      </c>
      <c r="AR11" s="449">
        <f>V11+W11+X11+Y11+Z11+AA11+AB11+AC11+AD11+AE11+AF11+AG11+AH11+AI11+AJ11</f>
        <v>4850.9998333333333</v>
      </c>
      <c r="AS11" s="596">
        <f>E11-AR11</f>
        <v>-1.8333333337068325E-3</v>
      </c>
      <c r="AT11" s="597" t="s">
        <v>369</v>
      </c>
      <c r="AU11" s="657" t="s">
        <v>339</v>
      </c>
    </row>
    <row r="12" spans="2:53" x14ac:dyDescent="0.25">
      <c r="B12" s="575" t="s">
        <v>370</v>
      </c>
      <c r="C12" s="581" t="s">
        <v>130</v>
      </c>
      <c r="D12" s="581" t="s">
        <v>131</v>
      </c>
      <c r="E12" s="601">
        <v>4446.7470000000003</v>
      </c>
      <c r="F12" s="583">
        <v>45423</v>
      </c>
      <c r="G12" s="583">
        <v>45607</v>
      </c>
      <c r="H12" s="583">
        <v>45427</v>
      </c>
      <c r="I12" s="604">
        <v>6</v>
      </c>
      <c r="J12" s="601">
        <f t="shared" si="1"/>
        <v>741.12450000000001</v>
      </c>
      <c r="K12" s="601">
        <v>0</v>
      </c>
      <c r="L12" s="601">
        <v>0</v>
      </c>
      <c r="M12" s="601">
        <v>0</v>
      </c>
      <c r="N12" s="601">
        <v>0</v>
      </c>
      <c r="O12" s="621">
        <f>+R12</f>
        <v>370.56225000000001</v>
      </c>
      <c r="P12" s="622" t="s">
        <v>372</v>
      </c>
      <c r="Q12" s="608">
        <v>370562.25</v>
      </c>
      <c r="R12" s="608">
        <f>+Q12/1000</f>
        <v>370.56225000000001</v>
      </c>
      <c r="S12" s="606"/>
      <c r="T12" s="623"/>
      <c r="U12" s="609"/>
      <c r="V12" s="656">
        <v>0</v>
      </c>
      <c r="W12" s="656">
        <v>0</v>
      </c>
      <c r="X12" s="656">
        <v>0</v>
      </c>
      <c r="Y12" s="656">
        <v>0</v>
      </c>
      <c r="Z12" s="656">
        <v>0</v>
      </c>
      <c r="AA12" s="656">
        <v>0</v>
      </c>
      <c r="AB12" s="656">
        <v>0</v>
      </c>
      <c r="AC12" s="656">
        <v>0</v>
      </c>
      <c r="AD12" s="656">
        <v>0</v>
      </c>
      <c r="AE12" s="613">
        <v>0</v>
      </c>
      <c r="AF12" s="613">
        <v>0</v>
      </c>
      <c r="AG12" s="613">
        <v>0</v>
      </c>
      <c r="AH12" s="624">
        <v>0</v>
      </c>
      <c r="AI12" s="624">
        <v>370.56</v>
      </c>
      <c r="AJ12" s="624">
        <v>741.12675000000013</v>
      </c>
      <c r="AK12" s="625">
        <v>741.12675000000013</v>
      </c>
      <c r="AL12" s="625"/>
      <c r="AM12" s="625"/>
      <c r="AN12" s="625"/>
      <c r="AO12" s="625"/>
      <c r="AP12" s="625"/>
      <c r="AQ12" s="611">
        <f t="shared" si="2"/>
        <v>1852.8135000000002</v>
      </c>
      <c r="AR12" s="613">
        <f>SUM(AE12:AP12)</f>
        <v>1852.8135000000002</v>
      </c>
      <c r="AS12" s="582">
        <f>E12-AR12</f>
        <v>2593.9335000000001</v>
      </c>
      <c r="AT12" s="614" t="s">
        <v>371</v>
      </c>
      <c r="AU12" s="659" t="s">
        <v>372</v>
      </c>
      <c r="AX12" t="s">
        <v>624</v>
      </c>
    </row>
    <row r="13" spans="2:53" ht="18.600000000000001" customHeight="1" x14ac:dyDescent="0.25">
      <c r="B13" s="575" t="s">
        <v>373</v>
      </c>
      <c r="C13" s="581" t="s">
        <v>130</v>
      </c>
      <c r="D13" s="581" t="s">
        <v>131</v>
      </c>
      <c r="E13" s="601">
        <v>662.21699999999998</v>
      </c>
      <c r="F13" s="583">
        <v>45423</v>
      </c>
      <c r="G13" s="583">
        <v>45607</v>
      </c>
      <c r="H13" s="583">
        <v>45427</v>
      </c>
      <c r="I13" s="604">
        <v>6</v>
      </c>
      <c r="J13" s="601">
        <f t="shared" si="1"/>
        <v>110.3695</v>
      </c>
      <c r="K13" s="601">
        <v>0</v>
      </c>
      <c r="L13" s="601">
        <v>0</v>
      </c>
      <c r="M13" s="601">
        <v>0</v>
      </c>
      <c r="N13" s="601">
        <v>0</v>
      </c>
      <c r="O13" s="621">
        <f>+R13</f>
        <v>55.184750000000001</v>
      </c>
      <c r="P13" s="626" t="s">
        <v>374</v>
      </c>
      <c r="Q13" s="608">
        <v>55184.75</v>
      </c>
      <c r="R13" s="608">
        <f>+Q13/1000</f>
        <v>55.184750000000001</v>
      </c>
      <c r="S13" s="606"/>
      <c r="T13" s="623"/>
      <c r="U13" s="609"/>
      <c r="V13" s="656">
        <v>0</v>
      </c>
      <c r="W13" s="656">
        <v>0</v>
      </c>
      <c r="X13" s="656">
        <v>0</v>
      </c>
      <c r="Y13" s="656">
        <v>0</v>
      </c>
      <c r="Z13" s="656">
        <v>0</v>
      </c>
      <c r="AA13" s="656">
        <v>0</v>
      </c>
      <c r="AB13" s="656">
        <v>0</v>
      </c>
      <c r="AC13" s="656">
        <v>0</v>
      </c>
      <c r="AD13" s="656">
        <v>0</v>
      </c>
      <c r="AE13" s="613">
        <v>0</v>
      </c>
      <c r="AF13" s="613">
        <v>0</v>
      </c>
      <c r="AG13" s="613">
        <v>0</v>
      </c>
      <c r="AH13" s="624">
        <v>0</v>
      </c>
      <c r="AI13" s="624">
        <v>55.18</v>
      </c>
      <c r="AJ13" s="624">
        <v>110.3695</v>
      </c>
      <c r="AK13" s="625">
        <v>110.3695</v>
      </c>
      <c r="AL13" s="625"/>
      <c r="AM13" s="625"/>
      <c r="AN13" s="625"/>
      <c r="AO13" s="625"/>
      <c r="AP13" s="625"/>
      <c r="AQ13" s="611">
        <f t="shared" si="2"/>
        <v>275.91899999999998</v>
      </c>
      <c r="AR13" s="613">
        <f t="shared" ref="AR13:AR16" si="6">SUM(AE13:AP13)</f>
        <v>275.91899999999998</v>
      </c>
      <c r="AS13" s="582">
        <f>E13-AR13</f>
        <v>386.298</v>
      </c>
      <c r="AT13" s="614" t="s">
        <v>371</v>
      </c>
      <c r="AU13" s="658" t="s">
        <v>374</v>
      </c>
    </row>
    <row r="14" spans="2:53" ht="18.600000000000001" customHeight="1" x14ac:dyDescent="0.25">
      <c r="B14" s="575" t="s">
        <v>375</v>
      </c>
      <c r="C14" s="581" t="s">
        <v>130</v>
      </c>
      <c r="D14" s="581" t="s">
        <v>131</v>
      </c>
      <c r="E14" s="601">
        <v>644.69399999999996</v>
      </c>
      <c r="F14" s="583">
        <v>45423</v>
      </c>
      <c r="G14" s="583">
        <v>45607</v>
      </c>
      <c r="H14" s="583">
        <v>45427</v>
      </c>
      <c r="I14" s="604">
        <v>6</v>
      </c>
      <c r="J14" s="601">
        <f t="shared" si="1"/>
        <v>107.449</v>
      </c>
      <c r="K14" s="627">
        <v>0</v>
      </c>
      <c r="L14" s="627">
        <v>0</v>
      </c>
      <c r="M14" s="627">
        <v>0</v>
      </c>
      <c r="N14" s="627">
        <v>0</v>
      </c>
      <c r="O14" s="628">
        <f>+R14</f>
        <v>53.724499999999999</v>
      </c>
      <c r="P14" s="629" t="s">
        <v>376</v>
      </c>
      <c r="Q14" s="630">
        <v>53724.5</v>
      </c>
      <c r="R14" s="630">
        <f>+Q14/1000</f>
        <v>53.724499999999999</v>
      </c>
      <c r="S14" s="606"/>
      <c r="T14" s="623"/>
      <c r="U14" s="609"/>
      <c r="V14" s="656">
        <v>0</v>
      </c>
      <c r="W14" s="656">
        <v>0</v>
      </c>
      <c r="X14" s="656">
        <v>0</v>
      </c>
      <c r="Y14" s="656">
        <v>0</v>
      </c>
      <c r="Z14" s="656">
        <v>0</v>
      </c>
      <c r="AA14" s="656">
        <v>0</v>
      </c>
      <c r="AB14" s="656">
        <v>0</v>
      </c>
      <c r="AC14" s="656">
        <v>0</v>
      </c>
      <c r="AD14" s="656">
        <v>0</v>
      </c>
      <c r="AE14" s="613">
        <v>0</v>
      </c>
      <c r="AF14" s="613">
        <v>0</v>
      </c>
      <c r="AG14" s="613">
        <v>0</v>
      </c>
      <c r="AH14" s="624">
        <v>0</v>
      </c>
      <c r="AI14" s="624">
        <v>53.72</v>
      </c>
      <c r="AJ14" s="631">
        <v>107.44</v>
      </c>
      <c r="AK14" s="631">
        <v>107.44</v>
      </c>
      <c r="AL14" s="632"/>
      <c r="AM14" s="632"/>
      <c r="AN14" s="632"/>
      <c r="AO14" s="632"/>
      <c r="AP14" s="632"/>
      <c r="AQ14" s="611">
        <f t="shared" si="2"/>
        <v>268.60000000000002</v>
      </c>
      <c r="AR14" s="613">
        <f t="shared" si="6"/>
        <v>268.60000000000002</v>
      </c>
      <c r="AS14" s="582">
        <f>E14-AR14</f>
        <v>376.09399999999994</v>
      </c>
      <c r="AT14" s="614" t="s">
        <v>371</v>
      </c>
      <c r="AU14" s="658" t="s">
        <v>376</v>
      </c>
    </row>
    <row r="15" spans="2:53" ht="26.25" x14ac:dyDescent="0.25">
      <c r="B15" s="576" t="s">
        <v>593</v>
      </c>
      <c r="C15" s="577" t="s">
        <v>130</v>
      </c>
      <c r="D15" s="577" t="s">
        <v>131</v>
      </c>
      <c r="E15" s="578">
        <v>11209.657999999999</v>
      </c>
      <c r="F15" s="579">
        <v>45423</v>
      </c>
      <c r="G15" s="579">
        <v>45607</v>
      </c>
      <c r="H15" s="633" t="s">
        <v>602</v>
      </c>
      <c r="I15" s="634">
        <v>6</v>
      </c>
      <c r="J15" s="578">
        <f>+E15/I15</f>
        <v>1868.2763333333332</v>
      </c>
      <c r="K15" s="627"/>
      <c r="L15" s="627"/>
      <c r="M15" s="627"/>
      <c r="N15" s="627"/>
      <c r="O15" s="635"/>
      <c r="P15" s="636"/>
      <c r="Q15" s="637"/>
      <c r="R15" s="637"/>
      <c r="S15" s="606"/>
      <c r="T15" s="623"/>
      <c r="U15" s="609"/>
      <c r="V15" s="656"/>
      <c r="W15" s="656"/>
      <c r="X15" s="656"/>
      <c r="Y15" s="656"/>
      <c r="Z15" s="656"/>
      <c r="AA15" s="656"/>
      <c r="AB15" s="656"/>
      <c r="AC15" s="656"/>
      <c r="AD15" s="656"/>
      <c r="AE15" s="613"/>
      <c r="AF15" s="613"/>
      <c r="AG15" s="613"/>
      <c r="AH15" s="624"/>
      <c r="AI15" s="624"/>
      <c r="AJ15" s="624"/>
      <c r="AK15" s="624">
        <v>934.13816666666662</v>
      </c>
      <c r="AL15" s="632"/>
      <c r="AM15" s="632"/>
      <c r="AN15" s="632"/>
      <c r="AO15" s="632"/>
      <c r="AP15" s="632"/>
      <c r="AQ15" s="611">
        <f t="shared" si="2"/>
        <v>934.13816666666662</v>
      </c>
      <c r="AR15" s="613">
        <f t="shared" si="6"/>
        <v>934.13816666666662</v>
      </c>
      <c r="AS15" s="582">
        <f t="shared" ref="AS15:AS16" si="7">E15-AR15</f>
        <v>10275.519833333332</v>
      </c>
      <c r="AT15" s="638" t="s">
        <v>603</v>
      </c>
      <c r="AU15" s="658" t="s">
        <v>604</v>
      </c>
    </row>
    <row r="16" spans="2:53" ht="27" thickBot="1" x14ac:dyDescent="0.3">
      <c r="B16" s="580" t="s">
        <v>593</v>
      </c>
      <c r="C16" s="581" t="s">
        <v>130</v>
      </c>
      <c r="D16" s="581" t="s">
        <v>131</v>
      </c>
      <c r="E16" s="582">
        <v>2789.98</v>
      </c>
      <c r="F16" s="583">
        <v>45439</v>
      </c>
      <c r="G16" s="583">
        <v>45607</v>
      </c>
      <c r="H16" s="639" t="s">
        <v>602</v>
      </c>
      <c r="I16" s="640">
        <v>6</v>
      </c>
      <c r="J16" s="582">
        <f>+E16/I16</f>
        <v>464.99666666666667</v>
      </c>
      <c r="K16" s="627"/>
      <c r="L16" s="627"/>
      <c r="M16" s="627"/>
      <c r="N16" s="627"/>
      <c r="O16" s="635"/>
      <c r="P16" s="636"/>
      <c r="Q16" s="637"/>
      <c r="R16" s="637"/>
      <c r="S16" s="606"/>
      <c r="T16" s="623"/>
      <c r="U16" s="609"/>
      <c r="V16" s="656"/>
      <c r="W16" s="656"/>
      <c r="X16" s="656"/>
      <c r="Y16" s="656"/>
      <c r="Z16" s="656"/>
      <c r="AA16" s="656"/>
      <c r="AB16" s="656"/>
      <c r="AC16" s="656"/>
      <c r="AD16" s="656"/>
      <c r="AE16" s="613"/>
      <c r="AF16" s="613"/>
      <c r="AG16" s="613"/>
      <c r="AH16" s="624"/>
      <c r="AI16" s="624"/>
      <c r="AJ16" s="624"/>
      <c r="AK16" s="624">
        <v>232.49833333333333</v>
      </c>
      <c r="AL16" s="632"/>
      <c r="AM16" s="632"/>
      <c r="AN16" s="632"/>
      <c r="AO16" s="632"/>
      <c r="AP16" s="632"/>
      <c r="AQ16" s="611">
        <f t="shared" si="2"/>
        <v>232.49833333333333</v>
      </c>
      <c r="AR16" s="613">
        <f t="shared" si="6"/>
        <v>232.49833333333333</v>
      </c>
      <c r="AS16" s="582">
        <f t="shared" si="7"/>
        <v>2557.4816666666666</v>
      </c>
      <c r="AT16" s="638" t="s">
        <v>603</v>
      </c>
      <c r="AU16" s="658" t="s">
        <v>605</v>
      </c>
    </row>
    <row r="17" spans="2:52" ht="15.75" thickBot="1" x14ac:dyDescent="0.3">
      <c r="B17" s="471"/>
      <c r="C17" s="472"/>
      <c r="D17" s="472"/>
      <c r="E17" s="473" t="s">
        <v>20</v>
      </c>
      <c r="F17" s="473"/>
      <c r="G17" s="473"/>
      <c r="H17" s="473"/>
      <c r="I17" s="473"/>
      <c r="J17" s="473"/>
      <c r="K17" s="474">
        <f>SUM(K3:K14)</f>
        <v>5329.3327499999996</v>
      </c>
      <c r="L17" s="474">
        <f>SUM(L3:L14)</f>
        <v>11768.65</v>
      </c>
      <c r="M17" s="474">
        <f>SUM(M3:M14)</f>
        <v>17582.079999999998</v>
      </c>
      <c r="N17" s="474">
        <f>SUM(N3:N14)</f>
        <v>23549.690000000002</v>
      </c>
      <c r="O17" s="475">
        <f>SUM(O3:O14)</f>
        <v>28208.532416666665</v>
      </c>
      <c r="P17" s="641"/>
      <c r="Q17" s="642"/>
      <c r="R17" s="643"/>
      <c r="S17" s="644"/>
      <c r="T17" s="645"/>
      <c r="U17" s="642"/>
      <c r="V17" s="653">
        <f t="shared" ref="V17:AJ17" si="8">SUM(V3:V14)</f>
        <v>1180.73</v>
      </c>
      <c r="W17" s="653">
        <f t="shared" si="8"/>
        <v>1180.73</v>
      </c>
      <c r="X17" s="653">
        <f t="shared" si="8"/>
        <v>1180.73</v>
      </c>
      <c r="Y17" s="653">
        <f t="shared" si="8"/>
        <v>1180.73</v>
      </c>
      <c r="Z17" s="653">
        <f t="shared" si="8"/>
        <v>1251.6300000000001</v>
      </c>
      <c r="AA17" s="653">
        <f t="shared" si="8"/>
        <v>1180.73</v>
      </c>
      <c r="AB17" s="653">
        <f t="shared" si="8"/>
        <v>1251.6200000000001</v>
      </c>
      <c r="AC17" s="653">
        <f t="shared" si="8"/>
        <v>3039.8576666666668</v>
      </c>
      <c r="AD17" s="653">
        <f t="shared" si="8"/>
        <v>5480.0694999999996</v>
      </c>
      <c r="AE17" s="476">
        <f>SUM(AE3:AE14)</f>
        <v>5884.3194999999996</v>
      </c>
      <c r="AF17" s="476">
        <f>SUM(AF3:AF14)</f>
        <v>5884.3294999999998</v>
      </c>
      <c r="AG17" s="476">
        <f t="shared" si="8"/>
        <v>5813.4295000000002</v>
      </c>
      <c r="AH17" s="476">
        <f t="shared" si="8"/>
        <v>5967.61175</v>
      </c>
      <c r="AI17" s="477">
        <f t="shared" si="8"/>
        <v>4658.8318333333345</v>
      </c>
      <c r="AJ17" s="477">
        <f t="shared" si="8"/>
        <v>3993.5715000000005</v>
      </c>
      <c r="AK17" s="477">
        <f>SUM(AK3:AK16)</f>
        <v>3460.4827500000001</v>
      </c>
      <c r="AL17" s="478"/>
      <c r="AM17" s="478"/>
      <c r="AN17" s="478"/>
      <c r="AO17" s="478"/>
      <c r="AP17" s="478"/>
      <c r="AQ17" s="646">
        <f>SUM(AQ3:AQ16)</f>
        <v>35662.576333333338</v>
      </c>
      <c r="AR17" s="647">
        <f>SUM(AR3:AR16)</f>
        <v>51293.928083333325</v>
      </c>
      <c r="AS17" s="646">
        <f>SUM(AS3:AS16)</f>
        <v>26868.652916666666</v>
      </c>
      <c r="AT17" s="648"/>
    </row>
    <row r="18" spans="2:52" ht="15.75" thickBot="1" x14ac:dyDescent="0.3">
      <c r="C18" s="472"/>
      <c r="D18" s="472"/>
      <c r="E18" s="473"/>
      <c r="F18" s="473"/>
      <c r="G18" s="473"/>
      <c r="H18" s="473"/>
      <c r="I18" s="473"/>
      <c r="AT18" s="678"/>
    </row>
    <row r="19" spans="2:52" ht="15.95" customHeight="1" thickBot="1" x14ac:dyDescent="0.35">
      <c r="B19" s="993" t="s">
        <v>607</v>
      </c>
      <c r="C19" s="994"/>
      <c r="D19" s="994"/>
      <c r="E19" s="994"/>
      <c r="F19" s="994"/>
      <c r="G19" s="994"/>
      <c r="H19" s="995"/>
      <c r="AK19" s="395"/>
    </row>
    <row r="20" spans="2:52" ht="15" customHeight="1" thickBot="1" x14ac:dyDescent="0.3">
      <c r="B20" s="996" t="s">
        <v>123</v>
      </c>
      <c r="C20" s="998" t="s">
        <v>124</v>
      </c>
      <c r="D20" s="998" t="s">
        <v>125</v>
      </c>
      <c r="E20" s="998" t="s">
        <v>133</v>
      </c>
      <c r="F20" s="1000" t="s">
        <v>611</v>
      </c>
      <c r="G20" s="1001"/>
      <c r="H20" s="998" t="s">
        <v>589</v>
      </c>
    </row>
    <row r="21" spans="2:52" ht="15.75" thickBot="1" x14ac:dyDescent="0.3">
      <c r="B21" s="997"/>
      <c r="C21" s="999"/>
      <c r="D21" s="999"/>
      <c r="E21" s="999"/>
      <c r="F21" s="62" t="s">
        <v>612</v>
      </c>
      <c r="G21" s="679" t="s">
        <v>359</v>
      </c>
      <c r="H21" s="999"/>
      <c r="AZ21">
        <f>+AZ19-AZ20</f>
        <v>0</v>
      </c>
    </row>
    <row r="22" spans="2:52" ht="15.75" thickBot="1" x14ac:dyDescent="0.3">
      <c r="B22" s="520" t="s">
        <v>127</v>
      </c>
      <c r="C22" s="521" t="s">
        <v>128</v>
      </c>
      <c r="D22" s="521" t="s">
        <v>129</v>
      </c>
      <c r="E22" s="522">
        <v>14168.793</v>
      </c>
      <c r="F22" s="523">
        <v>44927</v>
      </c>
      <c r="G22" s="445">
        <v>45291</v>
      </c>
      <c r="H22" s="524">
        <v>2.3000000002866727E-2</v>
      </c>
    </row>
    <row r="23" spans="2:52" x14ac:dyDescent="0.25">
      <c r="B23" s="525" t="s">
        <v>127</v>
      </c>
      <c r="C23" s="526" t="s">
        <v>128</v>
      </c>
      <c r="D23" s="526" t="s">
        <v>129</v>
      </c>
      <c r="E23" s="443">
        <v>16018.947</v>
      </c>
      <c r="F23" s="444">
        <v>45292</v>
      </c>
      <c r="G23" s="669">
        <v>45657</v>
      </c>
      <c r="H23" s="527">
        <v>9344.3947499999995</v>
      </c>
    </row>
    <row r="24" spans="2:52" x14ac:dyDescent="0.25">
      <c r="B24" s="665" t="s">
        <v>593</v>
      </c>
      <c r="C24" s="457" t="s">
        <v>130</v>
      </c>
      <c r="D24" s="457" t="s">
        <v>131</v>
      </c>
      <c r="E24" s="443">
        <v>11209.657999999999</v>
      </c>
      <c r="F24" s="458">
        <v>45093</v>
      </c>
      <c r="G24" s="670">
        <v>45241</v>
      </c>
      <c r="H24" s="527">
        <v>8407.2435000000005</v>
      </c>
      <c r="AS24" s="129"/>
    </row>
    <row r="25" spans="2:52" x14ac:dyDescent="0.25">
      <c r="B25" s="666" t="s">
        <v>593</v>
      </c>
      <c r="C25" s="465" t="s">
        <v>130</v>
      </c>
      <c r="D25" s="457" t="s">
        <v>131</v>
      </c>
      <c r="E25" s="443">
        <v>2789.98</v>
      </c>
      <c r="F25" s="458">
        <v>45241</v>
      </c>
      <c r="G25" s="671">
        <v>45423</v>
      </c>
      <c r="H25" s="527">
        <v>2092.4850000000001</v>
      </c>
    </row>
    <row r="26" spans="2:52" x14ac:dyDescent="0.25">
      <c r="B26" s="667" t="s">
        <v>370</v>
      </c>
      <c r="C26" s="457" t="s">
        <v>130</v>
      </c>
      <c r="D26" s="457" t="s">
        <v>131</v>
      </c>
      <c r="E26" s="443">
        <v>4446.7470000000003</v>
      </c>
      <c r="F26" s="458">
        <v>45423</v>
      </c>
      <c r="G26" s="670">
        <v>45607</v>
      </c>
      <c r="H26" s="527">
        <v>1852.8067499999997</v>
      </c>
    </row>
    <row r="27" spans="2:52" x14ac:dyDescent="0.25">
      <c r="B27" s="667" t="s">
        <v>373</v>
      </c>
      <c r="C27" s="457" t="s">
        <v>130</v>
      </c>
      <c r="D27" s="457" t="s">
        <v>131</v>
      </c>
      <c r="E27" s="443">
        <v>662.21699999999998</v>
      </c>
      <c r="F27" s="458">
        <v>45423</v>
      </c>
      <c r="G27" s="670">
        <v>45607</v>
      </c>
      <c r="H27" s="527">
        <v>275.92849999999999</v>
      </c>
    </row>
    <row r="28" spans="2:52" ht="15.75" thickBot="1" x14ac:dyDescent="0.3">
      <c r="B28" s="668" t="s">
        <v>375</v>
      </c>
      <c r="C28" s="528" t="s">
        <v>130</v>
      </c>
      <c r="D28" s="528" t="s">
        <v>131</v>
      </c>
      <c r="E28" s="529">
        <v>644.69399999999996</v>
      </c>
      <c r="F28" s="530">
        <v>45423</v>
      </c>
      <c r="G28" s="672">
        <v>45607</v>
      </c>
      <c r="H28" s="531">
        <v>268.65399999999994</v>
      </c>
    </row>
    <row r="29" spans="2:52" ht="15.75" thickBot="1" x14ac:dyDescent="0.3">
      <c r="B29" s="532"/>
      <c r="C29" s="664" t="s">
        <v>19</v>
      </c>
      <c r="D29" s="533"/>
      <c r="E29" s="534" t="s">
        <v>20</v>
      </c>
      <c r="F29" s="533"/>
      <c r="G29" s="533"/>
      <c r="H29" s="535">
        <f>SUM(H22:H28)</f>
        <v>22241.535500000002</v>
      </c>
    </row>
    <row r="30" spans="2:52" x14ac:dyDescent="0.25">
      <c r="C30" s="564"/>
      <c r="E30" s="31" t="s">
        <v>620</v>
      </c>
      <c r="H30" s="675">
        <v>22241.524670000003</v>
      </c>
    </row>
    <row r="31" spans="2:52" ht="15.75" thickBot="1" x14ac:dyDescent="0.3">
      <c r="C31" s="564"/>
      <c r="E31" s="674"/>
      <c r="H31" s="676">
        <f>H29-H30</f>
        <v>1.0829999999259599E-2</v>
      </c>
    </row>
    <row r="32" spans="2:52" ht="15.75" thickBot="1" x14ac:dyDescent="0.3">
      <c r="C32" s="564"/>
      <c r="E32" s="674"/>
      <c r="H32" s="674"/>
    </row>
    <row r="33" spans="2:9" ht="17.25" thickBot="1" x14ac:dyDescent="0.35">
      <c r="B33" s="993" t="s">
        <v>615</v>
      </c>
      <c r="C33" s="994"/>
      <c r="D33" s="994"/>
      <c r="E33" s="994"/>
      <c r="F33" s="994"/>
      <c r="G33" s="994"/>
      <c r="H33" s="995"/>
    </row>
    <row r="34" spans="2:9" ht="15" customHeight="1" thickBot="1" x14ac:dyDescent="0.3">
      <c r="B34" s="996" t="s">
        <v>123</v>
      </c>
      <c r="C34" s="998" t="s">
        <v>124</v>
      </c>
      <c r="D34" s="998" t="s">
        <v>125</v>
      </c>
      <c r="E34" s="998" t="s">
        <v>133</v>
      </c>
      <c r="F34" s="1000" t="s">
        <v>611</v>
      </c>
      <c r="G34" s="1001"/>
      <c r="H34" s="998" t="s">
        <v>614</v>
      </c>
    </row>
    <row r="35" spans="2:9" ht="15.75" thickBot="1" x14ac:dyDescent="0.3">
      <c r="B35" s="997"/>
      <c r="C35" s="999"/>
      <c r="D35" s="999"/>
      <c r="E35" s="999"/>
      <c r="F35" s="62" t="s">
        <v>612</v>
      </c>
      <c r="G35" s="679" t="s">
        <v>359</v>
      </c>
      <c r="H35" s="999"/>
      <c r="I35" s="31"/>
    </row>
    <row r="36" spans="2:9" x14ac:dyDescent="0.25">
      <c r="B36" s="520" t="s">
        <v>127</v>
      </c>
      <c r="C36" s="521" t="s">
        <v>128</v>
      </c>
      <c r="D36" s="521" t="s">
        <v>129</v>
      </c>
      <c r="E36" s="522">
        <v>14168.793</v>
      </c>
      <c r="F36" s="523">
        <v>44927</v>
      </c>
      <c r="G36" s="569">
        <v>45291</v>
      </c>
      <c r="H36" s="688">
        <v>3542.2000000000003</v>
      </c>
    </row>
    <row r="37" spans="2:9" x14ac:dyDescent="0.25">
      <c r="B37" s="567" t="s">
        <v>127</v>
      </c>
      <c r="C37" s="565" t="s">
        <v>128</v>
      </c>
      <c r="D37" s="565" t="s">
        <v>129</v>
      </c>
      <c r="E37" s="519">
        <v>16018.947</v>
      </c>
      <c r="F37" s="458">
        <v>45292</v>
      </c>
      <c r="G37" s="570">
        <v>45657</v>
      </c>
      <c r="H37" s="687">
        <v>6674.5522499999997</v>
      </c>
    </row>
    <row r="38" spans="2:9" x14ac:dyDescent="0.25">
      <c r="B38" s="567" t="s">
        <v>132</v>
      </c>
      <c r="C38" s="457" t="s">
        <v>130</v>
      </c>
      <c r="D38" s="457" t="s">
        <v>131</v>
      </c>
      <c r="E38" s="519">
        <v>425.35</v>
      </c>
      <c r="F38" s="458">
        <v>45093</v>
      </c>
      <c r="G38" s="570">
        <v>45241</v>
      </c>
      <c r="H38" s="687">
        <v>141.78</v>
      </c>
    </row>
    <row r="39" spans="2:9" x14ac:dyDescent="0.25">
      <c r="B39" s="462" t="s">
        <v>279</v>
      </c>
      <c r="C39" s="457" t="s">
        <v>130</v>
      </c>
      <c r="D39" s="457" t="s">
        <v>131</v>
      </c>
      <c r="E39" s="519">
        <v>9303.7029999999995</v>
      </c>
      <c r="F39" s="458">
        <v>45241</v>
      </c>
      <c r="G39" s="570">
        <v>45607</v>
      </c>
      <c r="H39" s="687">
        <v>6202.4686666666666</v>
      </c>
    </row>
    <row r="40" spans="2:9" x14ac:dyDescent="0.25">
      <c r="B40" s="462" t="s">
        <v>280</v>
      </c>
      <c r="C40" s="457" t="s">
        <v>130</v>
      </c>
      <c r="D40" s="457" t="s">
        <v>131</v>
      </c>
      <c r="E40" s="519">
        <v>703.30200000000002</v>
      </c>
      <c r="F40" s="458">
        <v>45241</v>
      </c>
      <c r="G40" s="570">
        <v>45423</v>
      </c>
      <c r="H40" s="687">
        <v>468.86799999999999</v>
      </c>
    </row>
    <row r="41" spans="2:9" x14ac:dyDescent="0.25">
      <c r="B41" s="462" t="s">
        <v>282</v>
      </c>
      <c r="C41" s="457" t="s">
        <v>130</v>
      </c>
      <c r="D41" s="457" t="s">
        <v>131</v>
      </c>
      <c r="E41" s="519">
        <v>3329.9340000000002</v>
      </c>
      <c r="F41" s="458">
        <v>45241</v>
      </c>
      <c r="G41" s="570">
        <v>45423</v>
      </c>
      <c r="H41" s="687">
        <v>3329.9340000000002</v>
      </c>
    </row>
    <row r="42" spans="2:9" x14ac:dyDescent="0.25">
      <c r="B42" s="462" t="s">
        <v>281</v>
      </c>
      <c r="C42" s="457" t="s">
        <v>130</v>
      </c>
      <c r="D42" s="457" t="s">
        <v>131</v>
      </c>
      <c r="E42" s="519">
        <v>722.42100000000005</v>
      </c>
      <c r="F42" s="458">
        <v>45241</v>
      </c>
      <c r="G42" s="570">
        <v>45417</v>
      </c>
      <c r="H42" s="687">
        <v>481.61400000000003</v>
      </c>
    </row>
    <row r="43" spans="2:9" x14ac:dyDescent="0.25">
      <c r="B43" s="462" t="s">
        <v>282</v>
      </c>
      <c r="C43" s="457" t="s">
        <v>130</v>
      </c>
      <c r="D43" s="457" t="s">
        <v>131</v>
      </c>
      <c r="E43" s="519">
        <v>8885.8369999999995</v>
      </c>
      <c r="F43" s="458">
        <v>45241</v>
      </c>
      <c r="G43" s="570">
        <v>45423</v>
      </c>
      <c r="H43" s="687">
        <v>8145.3505833333329</v>
      </c>
    </row>
    <row r="44" spans="2:9" x14ac:dyDescent="0.25">
      <c r="B44" s="462" t="s">
        <v>283</v>
      </c>
      <c r="C44" s="457" t="s">
        <v>130</v>
      </c>
      <c r="D44" s="457" t="s">
        <v>131</v>
      </c>
      <c r="E44" s="519">
        <v>4850.9979999999996</v>
      </c>
      <c r="F44" s="458">
        <v>45241</v>
      </c>
      <c r="G44" s="570">
        <v>45423</v>
      </c>
      <c r="H44" s="687">
        <v>4446.7498333333333</v>
      </c>
    </row>
    <row r="45" spans="2:9" x14ac:dyDescent="0.25">
      <c r="B45" s="462" t="s">
        <v>370</v>
      </c>
      <c r="C45" s="457" t="s">
        <v>130</v>
      </c>
      <c r="D45" s="457" t="s">
        <v>131</v>
      </c>
      <c r="E45" s="519">
        <v>4446.7470000000003</v>
      </c>
      <c r="F45" s="458">
        <v>45423</v>
      </c>
      <c r="G45" s="570">
        <v>45607</v>
      </c>
      <c r="H45" s="687">
        <v>2593.9402500000006</v>
      </c>
    </row>
    <row r="46" spans="2:9" x14ac:dyDescent="0.25">
      <c r="B46" s="462" t="s">
        <v>373</v>
      </c>
      <c r="C46" s="457" t="s">
        <v>130</v>
      </c>
      <c r="D46" s="457" t="s">
        <v>131</v>
      </c>
      <c r="E46" s="519">
        <v>662.21699999999998</v>
      </c>
      <c r="F46" s="458">
        <v>45423</v>
      </c>
      <c r="G46" s="570">
        <v>45607</v>
      </c>
      <c r="H46" s="687">
        <v>386.2885</v>
      </c>
    </row>
    <row r="47" spans="2:9" x14ac:dyDescent="0.25">
      <c r="B47" s="462" t="s">
        <v>375</v>
      </c>
      <c r="C47" s="457" t="s">
        <v>130</v>
      </c>
      <c r="D47" s="457" t="s">
        <v>131</v>
      </c>
      <c r="E47" s="519">
        <v>644.69399999999996</v>
      </c>
      <c r="F47" s="458">
        <v>45423</v>
      </c>
      <c r="G47" s="570">
        <v>45607</v>
      </c>
      <c r="H47" s="687">
        <v>376.04</v>
      </c>
    </row>
    <row r="48" spans="2:9" x14ac:dyDescent="0.25">
      <c r="B48" s="462" t="s">
        <v>593</v>
      </c>
      <c r="C48" s="457" t="s">
        <v>130</v>
      </c>
      <c r="D48" s="457" t="s">
        <v>131</v>
      </c>
      <c r="E48" s="519">
        <v>11209.657999999999</v>
      </c>
      <c r="F48" s="458">
        <v>45423</v>
      </c>
      <c r="G48" s="570">
        <v>45607</v>
      </c>
      <c r="H48" s="686">
        <v>2802.4144999999999</v>
      </c>
    </row>
    <row r="49" spans="2:15" ht="15.75" thickBot="1" x14ac:dyDescent="0.3">
      <c r="B49" s="464" t="s">
        <v>593</v>
      </c>
      <c r="C49" s="465" t="s">
        <v>130</v>
      </c>
      <c r="D49" s="465" t="s">
        <v>131</v>
      </c>
      <c r="E49" s="585">
        <v>2789.98</v>
      </c>
      <c r="F49" s="467">
        <v>45439</v>
      </c>
      <c r="G49" s="584">
        <v>45607</v>
      </c>
      <c r="H49" s="690">
        <v>697.495</v>
      </c>
    </row>
    <row r="50" spans="2:15" s="563" customFormat="1" ht="15.75" thickBot="1" x14ac:dyDescent="0.3">
      <c r="B50" s="560" t="s">
        <v>19</v>
      </c>
      <c r="C50" s="587"/>
      <c r="D50" s="587"/>
      <c r="E50" s="588"/>
      <c r="F50" s="587"/>
      <c r="G50" s="589"/>
      <c r="H50" s="590">
        <f>SUM(H36:H49)</f>
        <v>40289.695583333341</v>
      </c>
      <c r="I50" s="564"/>
      <c r="J50" s="562"/>
      <c r="K50" s="562"/>
      <c r="L50" s="562"/>
      <c r="M50" s="562"/>
      <c r="N50" s="562"/>
      <c r="O50" s="562"/>
    </row>
    <row r="51" spans="2:15" ht="15.75" thickBot="1" x14ac:dyDescent="0.3">
      <c r="E51" s="31" t="s">
        <v>619</v>
      </c>
      <c r="H51" s="689">
        <v>40289.736929999999</v>
      </c>
    </row>
    <row r="52" spans="2:15" ht="15.75" thickBot="1" x14ac:dyDescent="0.3">
      <c r="H52" s="677">
        <f>+H50-H51</f>
        <v>-4.1346666657773312E-2</v>
      </c>
    </row>
  </sheetData>
  <protectedRanges>
    <protectedRange sqref="AK19" name="Rango1_2"/>
    <protectedRange sqref="AY4" name="Rango1_6"/>
    <protectedRange sqref="AX4" name="Rango1_7"/>
    <protectedRange sqref="H51" name="Rango1_3"/>
  </protectedRanges>
  <mergeCells count="21">
    <mergeCell ref="B33:H33"/>
    <mergeCell ref="B34:B35"/>
    <mergeCell ref="C34:C35"/>
    <mergeCell ref="D34:D35"/>
    <mergeCell ref="E34:E35"/>
    <mergeCell ref="F34:G34"/>
    <mergeCell ref="H34:H35"/>
    <mergeCell ref="B1:J1"/>
    <mergeCell ref="K1:O1"/>
    <mergeCell ref="F20:G20"/>
    <mergeCell ref="AX6:BA6"/>
    <mergeCell ref="AE1:AQ1"/>
    <mergeCell ref="AS1:AS2"/>
    <mergeCell ref="AT1:AT2"/>
    <mergeCell ref="AX2:BA2"/>
    <mergeCell ref="H20:H21"/>
    <mergeCell ref="B20:B21"/>
    <mergeCell ref="C20:C21"/>
    <mergeCell ref="D20:D21"/>
    <mergeCell ref="E20:E21"/>
    <mergeCell ref="B19:H19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D98"/>
  <sheetViews>
    <sheetView topLeftCell="A2" workbookViewId="0">
      <selection activeCell="D22" sqref="D22"/>
    </sheetView>
  </sheetViews>
  <sheetFormatPr baseColWidth="10" defaultColWidth="9.140625" defaultRowHeight="15" x14ac:dyDescent="0.25"/>
  <cols>
    <col min="1" max="1" width="1.5703125" customWidth="1"/>
    <col min="2" max="2" width="27.7109375" style="479" customWidth="1"/>
    <col min="3" max="3" width="25" style="31" customWidth="1"/>
    <col min="4" max="4" width="12.28515625" style="31" customWidth="1"/>
    <col min="5" max="5" width="10.42578125" customWidth="1"/>
    <col min="6" max="6" width="7.85546875" style="31" bestFit="1" customWidth="1"/>
    <col min="7" max="7" width="10.140625" style="31" customWidth="1"/>
    <col min="8" max="8" width="8.85546875" style="31" customWidth="1"/>
    <col min="9" max="9" width="6.42578125" style="472" customWidth="1"/>
    <col min="10" max="10" width="14.42578125" style="31" customWidth="1"/>
    <col min="11" max="15" width="0.140625" style="31" customWidth="1"/>
    <col min="16" max="16" width="19.5703125" hidden="1" customWidth="1"/>
    <col min="17" max="17" width="20.5703125" hidden="1" customWidth="1"/>
    <col min="18" max="18" width="17" hidden="1" customWidth="1"/>
    <col min="19" max="20" width="13.85546875" hidden="1" customWidth="1"/>
    <col min="21" max="21" width="7.7109375" hidden="1" customWidth="1"/>
    <col min="22" max="22" width="0.140625" customWidth="1"/>
    <col min="23" max="24" width="0.140625" hidden="1" customWidth="1"/>
    <col min="25" max="25" width="0.28515625" hidden="1" customWidth="1"/>
    <col min="26" max="26" width="0.140625" hidden="1" customWidth="1"/>
    <col min="27" max="27" width="1" hidden="1" customWidth="1"/>
    <col min="28" max="28" width="0.85546875" customWidth="1"/>
    <col min="29" max="29" width="1.85546875" hidden="1" customWidth="1"/>
    <col min="30" max="30" width="0.85546875" hidden="1" customWidth="1"/>
    <col min="31" max="31" width="9.85546875" customWidth="1"/>
    <col min="32" max="32" width="13.85546875" bestFit="1" customWidth="1"/>
    <col min="33" max="33" width="9.42578125" bestFit="1" customWidth="1"/>
    <col min="34" max="35" width="8.42578125" bestFit="1" customWidth="1"/>
    <col min="36" max="39" width="8.7109375" customWidth="1"/>
    <col min="40" max="42" width="8.7109375" hidden="1" customWidth="1"/>
    <col min="43" max="43" width="11.5703125" customWidth="1"/>
    <col min="44" max="44" width="10.42578125" customWidth="1"/>
    <col min="45" max="45" width="7.42578125" customWidth="1"/>
    <col min="46" max="46" width="10.5703125" customWidth="1"/>
    <col min="47" max="47" width="9.7109375" customWidth="1"/>
    <col min="48" max="48" width="13.5703125" bestFit="1" customWidth="1"/>
    <col min="49" max="49" width="15.5703125" customWidth="1"/>
    <col min="50" max="50" width="11.42578125" bestFit="1" customWidth="1"/>
    <col min="53" max="53" width="42.7109375" customWidth="1"/>
    <col min="54" max="54" width="23.42578125" customWidth="1"/>
    <col min="55" max="55" width="22.5703125" customWidth="1"/>
    <col min="56" max="56" width="15.7109375" customWidth="1"/>
  </cols>
  <sheetData>
    <row r="1" spans="2:56" ht="15.75" thickBot="1" x14ac:dyDescent="0.3">
      <c r="B1" s="1004" t="s">
        <v>355</v>
      </c>
      <c r="C1" s="1005"/>
      <c r="D1" s="1005"/>
      <c r="E1" s="1005"/>
      <c r="F1" s="1005"/>
      <c r="G1" s="1005"/>
      <c r="H1" s="1005"/>
      <c r="I1" s="1005"/>
      <c r="J1" s="1006"/>
      <c r="K1" s="1007" t="s">
        <v>356</v>
      </c>
      <c r="L1" s="1008"/>
      <c r="M1" s="1008"/>
      <c r="N1" s="1008"/>
      <c r="O1" s="1009"/>
      <c r="P1" s="407"/>
      <c r="Q1" s="407"/>
      <c r="R1" s="407"/>
      <c r="S1" s="407"/>
      <c r="T1" s="407"/>
      <c r="U1" s="407"/>
      <c r="V1" s="1010" t="s">
        <v>357</v>
      </c>
      <c r="W1" s="1010"/>
      <c r="X1" s="1010"/>
      <c r="Y1" s="1010"/>
      <c r="Z1" s="1010"/>
      <c r="AA1" s="1010"/>
      <c r="AB1" s="1010"/>
      <c r="AC1" s="1010"/>
      <c r="AD1" s="1010"/>
      <c r="AE1" s="1010"/>
      <c r="AF1" s="1010"/>
      <c r="AG1" s="1010"/>
      <c r="AH1" s="1010"/>
      <c r="AI1" s="1010"/>
      <c r="AJ1" s="1021"/>
      <c r="AK1" s="1021"/>
      <c r="AL1" s="1021"/>
      <c r="AM1" s="1021"/>
      <c r="AN1" s="1021"/>
      <c r="AO1" s="1021"/>
      <c r="AP1" s="1021"/>
      <c r="AQ1" s="1021"/>
      <c r="AR1" s="721"/>
      <c r="AS1" s="1011" t="s">
        <v>627</v>
      </c>
      <c r="AT1" s="1011" t="s">
        <v>628</v>
      </c>
      <c r="AU1" s="1011" t="s">
        <v>347</v>
      </c>
      <c r="AV1" s="1013" t="s">
        <v>329</v>
      </c>
      <c r="AW1" t="s">
        <v>629</v>
      </c>
    </row>
    <row r="2" spans="2:56" ht="41.25" thickBot="1" x14ac:dyDescent="0.4">
      <c r="B2" s="436" t="s">
        <v>123</v>
      </c>
      <c r="C2" s="62" t="s">
        <v>124</v>
      </c>
      <c r="D2" s="62" t="s">
        <v>125</v>
      </c>
      <c r="E2" s="355" t="s">
        <v>133</v>
      </c>
      <c r="F2" s="355" t="s">
        <v>358</v>
      </c>
      <c r="G2" s="62" t="s">
        <v>359</v>
      </c>
      <c r="H2" s="355" t="s">
        <v>126</v>
      </c>
      <c r="I2" s="437" t="s">
        <v>360</v>
      </c>
      <c r="J2" s="437" t="s">
        <v>361</v>
      </c>
      <c r="K2" s="438">
        <v>45292</v>
      </c>
      <c r="L2" s="438">
        <v>45323</v>
      </c>
      <c r="M2" s="438">
        <v>45352</v>
      </c>
      <c r="N2" s="438">
        <v>45383</v>
      </c>
      <c r="O2" s="438">
        <v>45413</v>
      </c>
      <c r="Q2" t="s">
        <v>594</v>
      </c>
      <c r="R2" t="s">
        <v>595</v>
      </c>
      <c r="V2" s="591">
        <v>45017</v>
      </c>
      <c r="W2" s="439">
        <v>45047</v>
      </c>
      <c r="X2" s="439">
        <v>45078</v>
      </c>
      <c r="Y2" s="439">
        <v>45108</v>
      </c>
      <c r="Z2" s="439">
        <v>45139</v>
      </c>
      <c r="AA2" s="439">
        <v>45170</v>
      </c>
      <c r="AB2" s="439">
        <v>45200</v>
      </c>
      <c r="AC2" s="439">
        <v>45231</v>
      </c>
      <c r="AD2" s="439">
        <v>45261</v>
      </c>
      <c r="AE2" s="440">
        <v>45292</v>
      </c>
      <c r="AF2" s="440">
        <v>45323</v>
      </c>
      <c r="AG2" s="440">
        <v>45352</v>
      </c>
      <c r="AH2" s="440">
        <v>45383</v>
      </c>
      <c r="AI2" s="441">
        <v>45413</v>
      </c>
      <c r="AJ2" s="441">
        <v>45444</v>
      </c>
      <c r="AK2" s="441">
        <v>45474</v>
      </c>
      <c r="AL2" s="441">
        <v>45505</v>
      </c>
      <c r="AM2" s="441">
        <v>45536</v>
      </c>
      <c r="AN2" s="441">
        <v>45566</v>
      </c>
      <c r="AO2" s="441">
        <v>45597</v>
      </c>
      <c r="AP2" s="441">
        <v>45627</v>
      </c>
      <c r="AQ2" s="441" t="s">
        <v>362</v>
      </c>
      <c r="AR2" s="442" t="s">
        <v>19</v>
      </c>
      <c r="AS2" s="1022"/>
      <c r="AT2" s="1022"/>
      <c r="AU2" s="1022"/>
      <c r="AV2" s="1014"/>
      <c r="BA2" s="1003" t="s">
        <v>630</v>
      </c>
      <c r="BB2" s="1003"/>
      <c r="BC2" s="1003"/>
      <c r="BD2" s="1003"/>
    </row>
    <row r="3" spans="2:56" ht="30.75" thickBot="1" x14ac:dyDescent="0.3">
      <c r="B3" s="722" t="s">
        <v>127</v>
      </c>
      <c r="C3" s="723" t="s">
        <v>128</v>
      </c>
      <c r="D3" s="723" t="s">
        <v>129</v>
      </c>
      <c r="E3" s="443">
        <v>14168.793</v>
      </c>
      <c r="F3" s="444">
        <v>44927</v>
      </c>
      <c r="G3" s="724">
        <v>45291</v>
      </c>
      <c r="H3" s="444" t="s">
        <v>363</v>
      </c>
      <c r="I3" s="446">
        <v>12</v>
      </c>
      <c r="J3" s="443">
        <f>E3/I3</f>
        <v>1180.7327499999999</v>
      </c>
      <c r="K3" s="447">
        <v>1180.7327499999999</v>
      </c>
      <c r="L3" s="447">
        <v>2361.4699999999998</v>
      </c>
      <c r="M3" s="447">
        <v>3542.2</v>
      </c>
      <c r="N3" s="447">
        <v>3542.2</v>
      </c>
      <c r="O3" s="448">
        <f t="shared" ref="O3:O11" si="0">+R3</f>
        <v>3542.1982499999999</v>
      </c>
      <c r="P3" t="s">
        <v>333</v>
      </c>
      <c r="Q3" s="592">
        <v>3542198.25</v>
      </c>
      <c r="R3" s="593">
        <f>+Q3/1000</f>
        <v>3542.1982499999999</v>
      </c>
      <c r="U3" s="594"/>
      <c r="V3" s="725">
        <v>1180.73</v>
      </c>
      <c r="W3" s="725">
        <v>1180.73</v>
      </c>
      <c r="X3" s="725">
        <v>1180.73</v>
      </c>
      <c r="Y3" s="725">
        <v>1180.73</v>
      </c>
      <c r="Z3" s="725">
        <v>1180.73</v>
      </c>
      <c r="AA3" s="725">
        <v>1180.73</v>
      </c>
      <c r="AB3" s="725">
        <v>1180.73</v>
      </c>
      <c r="AC3" s="725">
        <v>1180.73</v>
      </c>
      <c r="AD3" s="725">
        <v>1180.73</v>
      </c>
      <c r="AE3" s="449">
        <v>1180.73</v>
      </c>
      <c r="AF3" s="449">
        <v>1180.74</v>
      </c>
      <c r="AG3" s="449">
        <v>1180.73</v>
      </c>
      <c r="AH3" s="450">
        <v>0</v>
      </c>
      <c r="AI3" s="450">
        <v>0</v>
      </c>
      <c r="AJ3" s="450"/>
      <c r="AK3" s="451"/>
      <c r="AL3" s="451"/>
      <c r="AM3" s="451"/>
      <c r="AN3" s="451"/>
      <c r="AO3" s="451"/>
      <c r="AP3" s="451"/>
      <c r="AQ3" s="726">
        <f>SUM(AE3:AP3)</f>
        <v>3542.2000000000003</v>
      </c>
      <c r="AR3" s="449">
        <f>V3+W3+X3+Y3+Z3+AA3+AB3+AC3+AD3+AE3+AF3+AG3+AH3+AI3</f>
        <v>14168.769999999997</v>
      </c>
      <c r="AS3" s="727">
        <f>+E3-AR3</f>
        <v>2.3000000002866727E-2</v>
      </c>
      <c r="AT3" s="680"/>
      <c r="AU3" s="680"/>
      <c r="AV3" s="597" t="s">
        <v>364</v>
      </c>
      <c r="AW3" s="680" t="s">
        <v>333</v>
      </c>
      <c r="BA3" s="728" t="s">
        <v>597</v>
      </c>
      <c r="BB3" s="598" t="s">
        <v>598</v>
      </c>
      <c r="BC3" s="685">
        <v>463396.35666666797</v>
      </c>
    </row>
    <row r="4" spans="2:56" x14ac:dyDescent="0.25">
      <c r="B4" s="729" t="s">
        <v>127</v>
      </c>
      <c r="C4" s="730" t="s">
        <v>128</v>
      </c>
      <c r="D4" s="730" t="s">
        <v>129</v>
      </c>
      <c r="E4" s="443">
        <v>16018.947</v>
      </c>
      <c r="F4" s="444">
        <v>45292</v>
      </c>
      <c r="G4" s="463">
        <v>45657</v>
      </c>
      <c r="H4" s="444">
        <v>45406</v>
      </c>
      <c r="I4" s="452">
        <v>12</v>
      </c>
      <c r="J4" s="443">
        <f t="shared" ref="J4:J14" si="1">E4/I4</f>
        <v>1334.9122500000001</v>
      </c>
      <c r="K4" s="447">
        <v>0</v>
      </c>
      <c r="L4" s="447">
        <v>0</v>
      </c>
      <c r="M4" s="447">
        <v>0</v>
      </c>
      <c r="N4" s="447">
        <v>1334.91</v>
      </c>
      <c r="O4" s="731">
        <f>+R4</f>
        <v>2669.8245000000002</v>
      </c>
      <c r="P4" t="s">
        <v>366</v>
      </c>
      <c r="Q4" s="592">
        <v>2669824.5</v>
      </c>
      <c r="R4" s="593">
        <f>+Q4/1000</f>
        <v>2669.8245000000002</v>
      </c>
      <c r="U4" s="594"/>
      <c r="V4" s="732">
        <v>0</v>
      </c>
      <c r="W4" s="732">
        <v>0</v>
      </c>
      <c r="X4" s="732">
        <v>0</v>
      </c>
      <c r="Y4" s="732">
        <v>0</v>
      </c>
      <c r="Z4" s="732">
        <v>0</v>
      </c>
      <c r="AA4" s="732">
        <v>0</v>
      </c>
      <c r="AB4" s="732">
        <v>0</v>
      </c>
      <c r="AC4" s="732">
        <v>0</v>
      </c>
      <c r="AD4" s="732">
        <v>0</v>
      </c>
      <c r="AE4" s="453">
        <v>0</v>
      </c>
      <c r="AF4" s="453">
        <v>0</v>
      </c>
      <c r="AG4" s="453">
        <v>0</v>
      </c>
      <c r="AH4" s="454">
        <v>1334.9122500000001</v>
      </c>
      <c r="AI4" s="454">
        <v>1334.91</v>
      </c>
      <c r="AJ4" s="454">
        <v>1334.91</v>
      </c>
      <c r="AK4" s="733">
        <v>1334.91</v>
      </c>
      <c r="AL4" s="455">
        <f>+AK4</f>
        <v>1334.91</v>
      </c>
      <c r="AM4" s="455">
        <f>+AK4</f>
        <v>1334.91</v>
      </c>
      <c r="AN4" s="455"/>
      <c r="AO4" s="455"/>
      <c r="AP4" s="455"/>
      <c r="AQ4" s="734">
        <f t="shared" ref="AQ4:AQ16" si="2">SUM(AE4:AP4)</f>
        <v>8009.4622499999996</v>
      </c>
      <c r="AR4" s="735">
        <f>+AH4+AI4+AJ4+AK4+AL4+AM4</f>
        <v>8009.4622499999996</v>
      </c>
      <c r="AS4" s="736">
        <f>E4-AR4</f>
        <v>8009.4847500000005</v>
      </c>
      <c r="AT4" s="737"/>
      <c r="AU4" s="737"/>
      <c r="AV4" s="738" t="s">
        <v>365</v>
      </c>
      <c r="AW4" s="680" t="s">
        <v>366</v>
      </c>
      <c r="BA4" t="s">
        <v>599</v>
      </c>
      <c r="BB4" s="739" t="s">
        <v>600</v>
      </c>
      <c r="BD4" s="685">
        <f>+BC3</f>
        <v>463396.35666666797</v>
      </c>
    </row>
    <row r="5" spans="2:56" ht="26.25" x14ac:dyDescent="0.25">
      <c r="B5" s="456" t="s">
        <v>132</v>
      </c>
      <c r="C5" s="457" t="s">
        <v>130</v>
      </c>
      <c r="D5" s="457" t="s">
        <v>131</v>
      </c>
      <c r="E5" s="443">
        <v>425.35</v>
      </c>
      <c r="F5" s="458">
        <v>45093</v>
      </c>
      <c r="G5" s="458">
        <v>45241</v>
      </c>
      <c r="H5" s="458">
        <v>45167</v>
      </c>
      <c r="I5" s="452">
        <v>6</v>
      </c>
      <c r="J5" s="443">
        <f>E5/I5</f>
        <v>70.891666666666666</v>
      </c>
      <c r="K5" s="447">
        <v>70.89</v>
      </c>
      <c r="L5" s="447">
        <v>141.78</v>
      </c>
      <c r="M5" s="459">
        <v>141.78</v>
      </c>
      <c r="N5" s="459">
        <v>141.78</v>
      </c>
      <c r="O5" s="460">
        <v>141.78</v>
      </c>
      <c r="Q5" s="592"/>
      <c r="R5" s="593"/>
      <c r="U5" s="594"/>
      <c r="V5" s="732">
        <v>0</v>
      </c>
      <c r="W5" s="732">
        <v>0</v>
      </c>
      <c r="X5" s="732">
        <v>0</v>
      </c>
      <c r="Y5" s="732">
        <v>0</v>
      </c>
      <c r="Z5" s="732">
        <v>70.900000000000006</v>
      </c>
      <c r="AA5" s="732">
        <v>0</v>
      </c>
      <c r="AB5" s="732">
        <v>70.89</v>
      </c>
      <c r="AC5" s="732">
        <v>70.89</v>
      </c>
      <c r="AD5" s="732">
        <v>70.89</v>
      </c>
      <c r="AE5" s="453">
        <v>70.89</v>
      </c>
      <c r="AF5" s="453">
        <v>70.89</v>
      </c>
      <c r="AG5" s="596">
        <v>0</v>
      </c>
      <c r="AH5" s="454">
        <v>0</v>
      </c>
      <c r="AI5" s="454">
        <v>0</v>
      </c>
      <c r="AJ5" s="454"/>
      <c r="AK5" s="740"/>
      <c r="AL5" s="455"/>
      <c r="AM5" s="455"/>
      <c r="AN5" s="455"/>
      <c r="AO5" s="455"/>
      <c r="AP5" s="455"/>
      <c r="AQ5" s="726">
        <f t="shared" si="2"/>
        <v>141.78</v>
      </c>
      <c r="AR5" s="449">
        <f t="shared" ref="AR5:AR10" si="3">V5+W5+X5+Y5+Z5+AA5+AB5+AC5+AD5+AE5+AF5+AG5+AH5+AI5</f>
        <v>425.34999999999997</v>
      </c>
      <c r="AS5" s="727">
        <f t="shared" ref="AS5:AS9" si="4">E5-AR5</f>
        <v>0</v>
      </c>
      <c r="AT5" s="680"/>
      <c r="AU5" s="680"/>
      <c r="AV5" s="741" t="s">
        <v>631</v>
      </c>
      <c r="AW5" s="742" t="s">
        <v>340</v>
      </c>
    </row>
    <row r="6" spans="2:56" x14ac:dyDescent="0.25">
      <c r="B6" s="461" t="s">
        <v>279</v>
      </c>
      <c r="C6" s="457" t="s">
        <v>130</v>
      </c>
      <c r="D6" s="457" t="s">
        <v>131</v>
      </c>
      <c r="E6" s="443">
        <v>9303.7029999999995</v>
      </c>
      <c r="F6" s="458">
        <v>45241</v>
      </c>
      <c r="G6" s="463">
        <v>45607</v>
      </c>
      <c r="H6" s="458">
        <v>45237</v>
      </c>
      <c r="I6" s="452">
        <v>6</v>
      </c>
      <c r="J6" s="443">
        <f t="shared" si="1"/>
        <v>1550.6171666666667</v>
      </c>
      <c r="K6" s="447">
        <v>1550.62</v>
      </c>
      <c r="L6" s="447">
        <v>3101.23</v>
      </c>
      <c r="M6" s="447">
        <v>4651.8500000000004</v>
      </c>
      <c r="N6" s="447">
        <v>6202.47</v>
      </c>
      <c r="O6" s="448">
        <f t="shared" si="0"/>
        <v>6202.4686666666666</v>
      </c>
      <c r="P6" s="616" t="s">
        <v>334</v>
      </c>
      <c r="Q6" s="592">
        <v>6202468.666666667</v>
      </c>
      <c r="R6" s="617">
        <f t="shared" ref="R6:R10" si="5">+Q6/1000</f>
        <v>6202.4686666666666</v>
      </c>
      <c r="V6" s="725">
        <v>0</v>
      </c>
      <c r="W6" s="725">
        <v>0</v>
      </c>
      <c r="X6" s="725">
        <v>0</v>
      </c>
      <c r="Y6" s="725">
        <v>0</v>
      </c>
      <c r="Z6" s="725">
        <v>0</v>
      </c>
      <c r="AA6" s="725">
        <v>0</v>
      </c>
      <c r="AB6" s="725">
        <v>0</v>
      </c>
      <c r="AC6" s="725">
        <v>1550.6171666666667</v>
      </c>
      <c r="AD6" s="725">
        <v>1550.6171666666667</v>
      </c>
      <c r="AE6" s="449">
        <v>1550.6171666666667</v>
      </c>
      <c r="AF6" s="449">
        <v>1550.6171666666667</v>
      </c>
      <c r="AG6" s="449">
        <v>1550.6171666666667</v>
      </c>
      <c r="AH6" s="450">
        <v>1550.6171666666667</v>
      </c>
      <c r="AI6" s="450">
        <v>0</v>
      </c>
      <c r="AJ6" s="450"/>
      <c r="AK6" s="451"/>
      <c r="AL6" s="451"/>
      <c r="AM6" s="451"/>
      <c r="AN6" s="451"/>
      <c r="AO6" s="451"/>
      <c r="AP6" s="451"/>
      <c r="AQ6" s="726">
        <f t="shared" si="2"/>
        <v>6202.4686666666666</v>
      </c>
      <c r="AR6" s="449">
        <f t="shared" si="3"/>
        <v>9303.7029999999995</v>
      </c>
      <c r="AS6" s="727">
        <f t="shared" si="4"/>
        <v>0</v>
      </c>
      <c r="AT6" s="680"/>
      <c r="AU6" s="680"/>
      <c r="AV6" s="597" t="s">
        <v>367</v>
      </c>
      <c r="AW6" s="743" t="s">
        <v>334</v>
      </c>
      <c r="BA6" t="s">
        <v>632</v>
      </c>
    </row>
    <row r="7" spans="2:56" x14ac:dyDescent="0.25">
      <c r="B7" s="462" t="s">
        <v>280</v>
      </c>
      <c r="C7" s="457" t="s">
        <v>130</v>
      </c>
      <c r="D7" s="457" t="s">
        <v>131</v>
      </c>
      <c r="E7" s="443">
        <v>703.30200000000002</v>
      </c>
      <c r="F7" s="458">
        <v>45241</v>
      </c>
      <c r="G7" s="463">
        <v>45423</v>
      </c>
      <c r="H7" s="458">
        <v>45237</v>
      </c>
      <c r="I7" s="452">
        <v>6</v>
      </c>
      <c r="J7" s="443">
        <f>E7/I7</f>
        <v>117.217</v>
      </c>
      <c r="K7" s="447">
        <v>117.22</v>
      </c>
      <c r="L7" s="447">
        <v>234.43</v>
      </c>
      <c r="M7" s="447">
        <v>351.65</v>
      </c>
      <c r="N7" s="447">
        <v>468.87</v>
      </c>
      <c r="O7" s="448">
        <f t="shared" si="0"/>
        <v>468.86799999999999</v>
      </c>
      <c r="P7" s="616" t="s">
        <v>335</v>
      </c>
      <c r="Q7" s="618">
        <v>468868</v>
      </c>
      <c r="R7" s="617">
        <f t="shared" si="5"/>
        <v>468.86799999999999</v>
      </c>
      <c r="V7" s="725">
        <v>0</v>
      </c>
      <c r="W7" s="725">
        <v>0</v>
      </c>
      <c r="X7" s="725">
        <v>0</v>
      </c>
      <c r="Y7" s="725">
        <v>0</v>
      </c>
      <c r="Z7" s="725">
        <v>0</v>
      </c>
      <c r="AA7" s="725">
        <v>0</v>
      </c>
      <c r="AB7" s="725">
        <v>0</v>
      </c>
      <c r="AC7" s="725">
        <v>117.217</v>
      </c>
      <c r="AD7" s="725">
        <v>117.217</v>
      </c>
      <c r="AE7" s="449">
        <v>117.217</v>
      </c>
      <c r="AF7" s="449">
        <v>117.217</v>
      </c>
      <c r="AG7" s="449">
        <v>117.217</v>
      </c>
      <c r="AH7" s="450">
        <v>117.217</v>
      </c>
      <c r="AI7" s="450">
        <v>0</v>
      </c>
      <c r="AJ7" s="450"/>
      <c r="AK7" s="451"/>
      <c r="AL7" s="451"/>
      <c r="AM7" s="451"/>
      <c r="AN7" s="451"/>
      <c r="AO7" s="451"/>
      <c r="AP7" s="451"/>
      <c r="AQ7" s="744">
        <f t="shared" si="2"/>
        <v>468.86799999999999</v>
      </c>
      <c r="AR7" s="619">
        <f t="shared" si="3"/>
        <v>703.30200000000002</v>
      </c>
      <c r="AS7" s="727">
        <f t="shared" si="4"/>
        <v>0</v>
      </c>
      <c r="AT7" s="680"/>
      <c r="AU7" s="680"/>
      <c r="AV7" s="597" t="s">
        <v>367</v>
      </c>
      <c r="AW7" s="743" t="s">
        <v>335</v>
      </c>
    </row>
    <row r="8" spans="2:56" x14ac:dyDescent="0.25">
      <c r="B8" s="464" t="s">
        <v>282</v>
      </c>
      <c r="C8" s="465" t="s">
        <v>130</v>
      </c>
      <c r="D8" s="457" t="s">
        <v>131</v>
      </c>
      <c r="E8" s="443">
        <v>3329.9340000000002</v>
      </c>
      <c r="F8" s="458">
        <v>45241</v>
      </c>
      <c r="G8" s="466">
        <v>45423</v>
      </c>
      <c r="H8" s="467">
        <v>45286</v>
      </c>
      <c r="I8" s="452">
        <v>6</v>
      </c>
      <c r="J8" s="443">
        <f t="shared" si="1"/>
        <v>554.98900000000003</v>
      </c>
      <c r="K8" s="468">
        <v>0</v>
      </c>
      <c r="L8" s="459">
        <v>1109.98</v>
      </c>
      <c r="M8" s="459">
        <v>1664.97</v>
      </c>
      <c r="N8" s="459">
        <v>2219.96</v>
      </c>
      <c r="O8" s="469">
        <f t="shared" si="0"/>
        <v>2774.9450000000002</v>
      </c>
      <c r="P8" s="620" t="s">
        <v>336</v>
      </c>
      <c r="Q8" s="592">
        <v>2774945</v>
      </c>
      <c r="R8" s="617">
        <f t="shared" si="5"/>
        <v>2774.9450000000002</v>
      </c>
      <c r="V8" s="725">
        <v>0</v>
      </c>
      <c r="W8" s="725">
        <v>0</v>
      </c>
      <c r="X8" s="725">
        <v>0</v>
      </c>
      <c r="Y8" s="725">
        <v>0</v>
      </c>
      <c r="Z8" s="725">
        <v>0</v>
      </c>
      <c r="AA8" s="725">
        <v>0</v>
      </c>
      <c r="AB8" s="725"/>
      <c r="AC8" s="725">
        <v>0</v>
      </c>
      <c r="AD8" s="725">
        <v>554.98900000000003</v>
      </c>
      <c r="AE8" s="449">
        <v>554.98900000000003</v>
      </c>
      <c r="AF8" s="449">
        <v>554.98900000000003</v>
      </c>
      <c r="AG8" s="449">
        <v>554.98900000000003</v>
      </c>
      <c r="AH8" s="450">
        <v>554.98900000000003</v>
      </c>
      <c r="AI8" s="450">
        <v>554.98900000000003</v>
      </c>
      <c r="AJ8" s="450">
        <v>554.98900000000003</v>
      </c>
      <c r="AK8" s="451"/>
      <c r="AL8" s="451"/>
      <c r="AM8" s="451"/>
      <c r="AN8" s="451"/>
      <c r="AO8" s="451"/>
      <c r="AP8" s="451"/>
      <c r="AQ8" s="744">
        <f t="shared" si="2"/>
        <v>3329.9340000000002</v>
      </c>
      <c r="AR8" s="619">
        <f t="shared" si="3"/>
        <v>3329.9340000000002</v>
      </c>
      <c r="AS8" s="727">
        <f t="shared" si="4"/>
        <v>0</v>
      </c>
      <c r="AT8" s="680"/>
      <c r="AU8" s="680"/>
      <c r="AV8" s="597" t="s">
        <v>368</v>
      </c>
      <c r="AW8" s="742" t="s">
        <v>336</v>
      </c>
    </row>
    <row r="9" spans="2:56" x14ac:dyDescent="0.25">
      <c r="B9" s="462" t="s">
        <v>281</v>
      </c>
      <c r="C9" s="457" t="s">
        <v>130</v>
      </c>
      <c r="D9" s="457" t="s">
        <v>131</v>
      </c>
      <c r="E9" s="443">
        <v>722.42100000000005</v>
      </c>
      <c r="F9" s="458">
        <v>45241</v>
      </c>
      <c r="G9" s="458">
        <v>45417</v>
      </c>
      <c r="H9" s="458">
        <v>45237</v>
      </c>
      <c r="I9" s="452">
        <v>6</v>
      </c>
      <c r="J9" s="443">
        <f t="shared" si="1"/>
        <v>120.40350000000001</v>
      </c>
      <c r="K9" s="468">
        <v>120.4</v>
      </c>
      <c r="L9" s="447">
        <v>240.81</v>
      </c>
      <c r="M9" s="447">
        <v>361.21</v>
      </c>
      <c r="N9" s="447">
        <v>481.61</v>
      </c>
      <c r="O9" s="470">
        <f t="shared" si="0"/>
        <v>481.61399999999998</v>
      </c>
      <c r="P9" s="616" t="s">
        <v>337</v>
      </c>
      <c r="Q9" s="592">
        <v>481614</v>
      </c>
      <c r="R9" s="617">
        <f t="shared" si="5"/>
        <v>481.61399999999998</v>
      </c>
      <c r="V9" s="725">
        <v>0</v>
      </c>
      <c r="W9" s="725">
        <v>0</v>
      </c>
      <c r="X9" s="725">
        <v>0</v>
      </c>
      <c r="Y9" s="725">
        <v>0</v>
      </c>
      <c r="Z9" s="725">
        <v>0</v>
      </c>
      <c r="AA9" s="725">
        <v>0</v>
      </c>
      <c r="AB9" s="725">
        <v>0</v>
      </c>
      <c r="AC9" s="725">
        <v>120.40350000000001</v>
      </c>
      <c r="AD9" s="725">
        <v>120.40350000000001</v>
      </c>
      <c r="AE9" s="449">
        <v>120.40350000000001</v>
      </c>
      <c r="AF9" s="449">
        <v>120.40350000000001</v>
      </c>
      <c r="AG9" s="449">
        <v>120.40350000000001</v>
      </c>
      <c r="AH9" s="450">
        <v>120.40350000000001</v>
      </c>
      <c r="AI9" s="450">
        <v>0</v>
      </c>
      <c r="AJ9" s="450"/>
      <c r="AK9" s="451"/>
      <c r="AL9" s="451"/>
      <c r="AM9" s="451"/>
      <c r="AN9" s="451"/>
      <c r="AO9" s="451"/>
      <c r="AP9" s="451"/>
      <c r="AQ9" s="744">
        <f t="shared" si="2"/>
        <v>481.61400000000003</v>
      </c>
      <c r="AR9" s="619">
        <f t="shared" si="3"/>
        <v>722.42100000000005</v>
      </c>
      <c r="AS9" s="727">
        <f t="shared" si="4"/>
        <v>0</v>
      </c>
      <c r="AT9" s="680"/>
      <c r="AU9" s="680"/>
      <c r="AV9" s="597" t="s">
        <v>367</v>
      </c>
      <c r="AW9" s="743" t="s">
        <v>337</v>
      </c>
    </row>
    <row r="10" spans="2:56" x14ac:dyDescent="0.25">
      <c r="B10" s="462" t="s">
        <v>282</v>
      </c>
      <c r="C10" s="457" t="s">
        <v>130</v>
      </c>
      <c r="D10" s="457" t="s">
        <v>131</v>
      </c>
      <c r="E10" s="443">
        <v>8885.8369999999995</v>
      </c>
      <c r="F10" s="458">
        <v>45241</v>
      </c>
      <c r="G10" s="458">
        <v>45423</v>
      </c>
      <c r="H10" s="458">
        <v>45275</v>
      </c>
      <c r="I10" s="452">
        <v>6</v>
      </c>
      <c r="J10" s="443">
        <f t="shared" si="1"/>
        <v>1480.9728333333333</v>
      </c>
      <c r="K10" s="447">
        <v>1480.97</v>
      </c>
      <c r="L10" s="447">
        <v>2961.95</v>
      </c>
      <c r="M10" s="447">
        <v>4442.92</v>
      </c>
      <c r="N10" s="447">
        <v>5923.89</v>
      </c>
      <c r="O10" s="470">
        <f t="shared" si="0"/>
        <v>7404.8641666666663</v>
      </c>
      <c r="P10" s="616" t="s">
        <v>338</v>
      </c>
      <c r="Q10" s="592">
        <v>7404864.166666666</v>
      </c>
      <c r="R10" s="617">
        <f t="shared" si="5"/>
        <v>7404.8641666666663</v>
      </c>
      <c r="V10" s="745">
        <v>0</v>
      </c>
      <c r="W10" s="745">
        <v>0</v>
      </c>
      <c r="X10" s="745">
        <v>0</v>
      </c>
      <c r="Y10" s="745">
        <v>0</v>
      </c>
      <c r="Z10" s="725">
        <v>0</v>
      </c>
      <c r="AA10" s="725">
        <v>0</v>
      </c>
      <c r="AB10" s="725">
        <v>0</v>
      </c>
      <c r="AC10" s="725">
        <v>0</v>
      </c>
      <c r="AD10" s="725">
        <v>1480.9728333333333</v>
      </c>
      <c r="AE10" s="449">
        <v>1480.9728333333333</v>
      </c>
      <c r="AF10" s="449">
        <v>1480.9728333333333</v>
      </c>
      <c r="AG10" s="449">
        <v>1480.9728333333333</v>
      </c>
      <c r="AH10" s="450">
        <v>1480.9728333333333</v>
      </c>
      <c r="AI10" s="450">
        <v>1480.9728333333333</v>
      </c>
      <c r="AJ10" s="450">
        <v>740.48641666666663</v>
      </c>
      <c r="AK10" s="451"/>
      <c r="AL10" s="451"/>
      <c r="AM10" s="451"/>
      <c r="AN10" s="451"/>
      <c r="AO10" s="451"/>
      <c r="AP10" s="451"/>
      <c r="AQ10" s="744">
        <f t="shared" si="2"/>
        <v>8145.3505833333329</v>
      </c>
      <c r="AR10" s="449">
        <f t="shared" si="3"/>
        <v>8885.8369999999995</v>
      </c>
      <c r="AS10" s="727">
        <v>0</v>
      </c>
      <c r="AT10" s="680"/>
      <c r="AU10" s="680"/>
      <c r="AV10" s="597" t="s">
        <v>369</v>
      </c>
      <c r="AW10" s="743" t="s">
        <v>338</v>
      </c>
    </row>
    <row r="11" spans="2:56" x14ac:dyDescent="0.25">
      <c r="B11" s="462" t="s">
        <v>283</v>
      </c>
      <c r="C11" s="457" t="s">
        <v>130</v>
      </c>
      <c r="D11" s="457" t="s">
        <v>131</v>
      </c>
      <c r="E11" s="443">
        <v>4850.9979999999996</v>
      </c>
      <c r="F11" s="458">
        <v>45241</v>
      </c>
      <c r="G11" s="458">
        <v>45423</v>
      </c>
      <c r="H11" s="458">
        <v>45275</v>
      </c>
      <c r="I11" s="452">
        <v>6</v>
      </c>
      <c r="J11" s="443">
        <f t="shared" si="1"/>
        <v>808.4996666666666</v>
      </c>
      <c r="K11" s="447">
        <v>808.5</v>
      </c>
      <c r="L11" s="447">
        <v>1617</v>
      </c>
      <c r="M11" s="447">
        <v>2425.5</v>
      </c>
      <c r="N11" s="447">
        <v>3234</v>
      </c>
      <c r="O11" s="470">
        <f t="shared" si="0"/>
        <v>4042.498333333333</v>
      </c>
      <c r="P11" s="616" t="s">
        <v>339</v>
      </c>
      <c r="Q11" s="592">
        <v>4042498.333333333</v>
      </c>
      <c r="R11" s="617">
        <f>+Q11/1000</f>
        <v>4042.498333333333</v>
      </c>
      <c r="V11" s="745">
        <v>0</v>
      </c>
      <c r="W11" s="745">
        <v>0</v>
      </c>
      <c r="X11" s="745">
        <v>0</v>
      </c>
      <c r="Y11" s="745">
        <v>0</v>
      </c>
      <c r="Z11" s="725">
        <v>0</v>
      </c>
      <c r="AA11" s="725">
        <v>0</v>
      </c>
      <c r="AB11" s="725">
        <v>0</v>
      </c>
      <c r="AC11" s="725">
        <v>0</v>
      </c>
      <c r="AD11" s="725">
        <v>404.25</v>
      </c>
      <c r="AE11" s="449">
        <v>808.5</v>
      </c>
      <c r="AF11" s="449">
        <v>808.5</v>
      </c>
      <c r="AG11" s="449">
        <v>808.5</v>
      </c>
      <c r="AH11" s="450">
        <v>808.5</v>
      </c>
      <c r="AI11" s="450">
        <v>808.5</v>
      </c>
      <c r="AJ11" s="450">
        <v>404.2498333333333</v>
      </c>
      <c r="AK11" s="451"/>
      <c r="AL11" s="451"/>
      <c r="AM11" s="451"/>
      <c r="AN11" s="451"/>
      <c r="AO11" s="451"/>
      <c r="AP11" s="451"/>
      <c r="AQ11" s="744">
        <f t="shared" si="2"/>
        <v>4446.7498333333333</v>
      </c>
      <c r="AR11" s="449">
        <f>V11+W11+X11+Y11+Z11+AA11+AB11+AC11+AD11+AE11+AF11+AG11+AH11+AI11+AJ11</f>
        <v>4850.9998333333333</v>
      </c>
      <c r="AS11" s="727">
        <f>E11-AR11</f>
        <v>-1.8333333337068325E-3</v>
      </c>
      <c r="AT11" s="680"/>
      <c r="AU11" s="680"/>
      <c r="AV11" s="597" t="s">
        <v>369</v>
      </c>
      <c r="AW11" s="680" t="s">
        <v>339</v>
      </c>
    </row>
    <row r="12" spans="2:56" x14ac:dyDescent="0.25">
      <c r="B12" s="462" t="s">
        <v>370</v>
      </c>
      <c r="C12" s="457" t="s">
        <v>130</v>
      </c>
      <c r="D12" s="457" t="s">
        <v>131</v>
      </c>
      <c r="E12" s="443">
        <v>4446.7470000000003</v>
      </c>
      <c r="F12" s="458">
        <v>45423</v>
      </c>
      <c r="G12" s="458">
        <v>45607</v>
      </c>
      <c r="H12" s="458">
        <v>45427</v>
      </c>
      <c r="I12" s="452">
        <v>6</v>
      </c>
      <c r="J12" s="443">
        <f t="shared" si="1"/>
        <v>741.12450000000001</v>
      </c>
      <c r="K12" s="447">
        <v>0</v>
      </c>
      <c r="L12" s="447">
        <v>0</v>
      </c>
      <c r="M12" s="447">
        <v>0</v>
      </c>
      <c r="N12" s="447">
        <v>0</v>
      </c>
      <c r="O12" s="746">
        <f>+R12</f>
        <v>370.56225000000001</v>
      </c>
      <c r="P12" s="747" t="s">
        <v>372</v>
      </c>
      <c r="Q12" s="685">
        <v>370562.25</v>
      </c>
      <c r="R12" s="593">
        <f>+Q12/1000</f>
        <v>370.56225000000001</v>
      </c>
      <c r="T12" s="129"/>
      <c r="U12" s="594"/>
      <c r="V12" s="745">
        <v>0</v>
      </c>
      <c r="W12" s="745">
        <v>0</v>
      </c>
      <c r="X12" s="745">
        <v>0</v>
      </c>
      <c r="Y12" s="745">
        <v>0</v>
      </c>
      <c r="Z12" s="725">
        <v>0</v>
      </c>
      <c r="AA12" s="745">
        <v>0</v>
      </c>
      <c r="AB12" s="745">
        <v>0</v>
      </c>
      <c r="AC12" s="745">
        <v>0</v>
      </c>
      <c r="AD12" s="745">
        <v>0</v>
      </c>
      <c r="AE12" s="449">
        <v>0</v>
      </c>
      <c r="AF12" s="449">
        <v>0</v>
      </c>
      <c r="AG12" s="449">
        <v>0</v>
      </c>
      <c r="AH12" s="450">
        <v>0</v>
      </c>
      <c r="AI12" s="450">
        <v>370.56</v>
      </c>
      <c r="AJ12" s="450">
        <v>741.12675000000013</v>
      </c>
      <c r="AK12" s="450">
        <v>741.12675000000013</v>
      </c>
      <c r="AL12" s="450">
        <v>741.12675000000013</v>
      </c>
      <c r="AM12" s="451">
        <f>+AL12</f>
        <v>741.12675000000013</v>
      </c>
      <c r="AN12" s="451"/>
      <c r="AO12" s="451"/>
      <c r="AP12" s="451"/>
      <c r="AQ12" s="734">
        <f t="shared" si="2"/>
        <v>3335.0670000000009</v>
      </c>
      <c r="AR12" s="735">
        <f>SUM(AE12:AP12)</f>
        <v>3335.0670000000009</v>
      </c>
      <c r="AS12" s="736">
        <f>E12-AR12</f>
        <v>1111.6799999999994</v>
      </c>
      <c r="AT12" s="737"/>
      <c r="AU12" s="737"/>
      <c r="AV12" s="738" t="s">
        <v>371</v>
      </c>
      <c r="AW12" s="747" t="s">
        <v>372</v>
      </c>
    </row>
    <row r="13" spans="2:56" x14ac:dyDescent="0.25">
      <c r="B13" s="462" t="s">
        <v>373</v>
      </c>
      <c r="C13" s="457" t="s">
        <v>130</v>
      </c>
      <c r="D13" s="457" t="s">
        <v>131</v>
      </c>
      <c r="E13" s="443">
        <v>662.21699999999998</v>
      </c>
      <c r="F13" s="458">
        <v>45423</v>
      </c>
      <c r="G13" s="458">
        <v>45607</v>
      </c>
      <c r="H13" s="458">
        <v>45427</v>
      </c>
      <c r="I13" s="452">
        <v>6</v>
      </c>
      <c r="J13" s="443">
        <f t="shared" si="1"/>
        <v>110.3695</v>
      </c>
      <c r="K13" s="447">
        <v>0</v>
      </c>
      <c r="L13" s="447">
        <v>0</v>
      </c>
      <c r="M13" s="447">
        <v>0</v>
      </c>
      <c r="N13" s="447">
        <v>0</v>
      </c>
      <c r="O13" s="746">
        <f>+R13</f>
        <v>55.184750000000001</v>
      </c>
      <c r="P13" s="742" t="s">
        <v>374</v>
      </c>
      <c r="Q13" s="685">
        <v>55184.75</v>
      </c>
      <c r="R13" s="593">
        <f>+Q13/1000</f>
        <v>55.184750000000001</v>
      </c>
      <c r="T13" s="129"/>
      <c r="U13" s="594"/>
      <c r="V13" s="745">
        <v>0</v>
      </c>
      <c r="W13" s="745">
        <v>0</v>
      </c>
      <c r="X13" s="745">
        <v>0</v>
      </c>
      <c r="Y13" s="745">
        <v>0</v>
      </c>
      <c r="Z13" s="725">
        <v>0</v>
      </c>
      <c r="AA13" s="745">
        <v>0</v>
      </c>
      <c r="AB13" s="745">
        <v>0</v>
      </c>
      <c r="AC13" s="745">
        <v>0</v>
      </c>
      <c r="AD13" s="745">
        <v>0</v>
      </c>
      <c r="AE13" s="449">
        <v>0</v>
      </c>
      <c r="AF13" s="449">
        <v>0</v>
      </c>
      <c r="AG13" s="449">
        <v>0</v>
      </c>
      <c r="AH13" s="450">
        <v>0</v>
      </c>
      <c r="AI13" s="450">
        <v>55.18</v>
      </c>
      <c r="AJ13" s="450">
        <v>110.3695</v>
      </c>
      <c r="AK13" s="450">
        <v>110.3695</v>
      </c>
      <c r="AL13" s="450">
        <v>110.3695</v>
      </c>
      <c r="AM13" s="451">
        <f>+AL13</f>
        <v>110.3695</v>
      </c>
      <c r="AN13" s="451"/>
      <c r="AO13" s="451"/>
      <c r="AP13" s="451"/>
      <c r="AQ13" s="734">
        <f t="shared" si="2"/>
        <v>496.65800000000002</v>
      </c>
      <c r="AR13" s="735">
        <f>SUM(AE13:AP13)</f>
        <v>496.65800000000002</v>
      </c>
      <c r="AS13" s="736">
        <f>E13-AR13</f>
        <v>165.55899999999997</v>
      </c>
      <c r="AT13" s="737"/>
      <c r="AU13" s="737"/>
      <c r="AV13" s="738" t="s">
        <v>371</v>
      </c>
      <c r="AW13" s="742" t="s">
        <v>374</v>
      </c>
    </row>
    <row r="14" spans="2:56" x14ac:dyDescent="0.25">
      <c r="B14" s="462" t="s">
        <v>375</v>
      </c>
      <c r="C14" s="457" t="s">
        <v>130</v>
      </c>
      <c r="D14" s="457" t="s">
        <v>131</v>
      </c>
      <c r="E14" s="443">
        <v>644.69399999999996</v>
      </c>
      <c r="F14" s="458">
        <v>45423</v>
      </c>
      <c r="G14" s="458">
        <v>45607</v>
      </c>
      <c r="H14" s="458">
        <v>45427</v>
      </c>
      <c r="I14" s="452">
        <v>6</v>
      </c>
      <c r="J14" s="443">
        <f t="shared" si="1"/>
        <v>107.449</v>
      </c>
      <c r="K14" s="459">
        <v>0</v>
      </c>
      <c r="L14" s="459">
        <v>0</v>
      </c>
      <c r="M14" s="459">
        <v>0</v>
      </c>
      <c r="N14" s="459">
        <v>0</v>
      </c>
      <c r="O14" s="460">
        <f>+R14</f>
        <v>53.724499999999999</v>
      </c>
      <c r="P14" s="748" t="s">
        <v>376</v>
      </c>
      <c r="Q14" s="749">
        <v>53724.5</v>
      </c>
      <c r="R14" s="750">
        <f>+Q14/1000</f>
        <v>53.724499999999999</v>
      </c>
      <c r="T14" s="129"/>
      <c r="U14" s="594"/>
      <c r="V14" s="745">
        <v>0</v>
      </c>
      <c r="W14" s="745">
        <v>0</v>
      </c>
      <c r="X14" s="745">
        <v>0</v>
      </c>
      <c r="Y14" s="745">
        <v>0</v>
      </c>
      <c r="Z14" s="725">
        <v>0</v>
      </c>
      <c r="AA14" s="745">
        <v>0</v>
      </c>
      <c r="AB14" s="745">
        <v>0</v>
      </c>
      <c r="AC14" s="745">
        <v>0</v>
      </c>
      <c r="AD14" s="745">
        <v>0</v>
      </c>
      <c r="AE14" s="449">
        <v>0</v>
      </c>
      <c r="AF14" s="449">
        <v>0</v>
      </c>
      <c r="AG14" s="449">
        <v>0</v>
      </c>
      <c r="AH14" s="450">
        <v>0</v>
      </c>
      <c r="AI14" s="450">
        <v>53.72</v>
      </c>
      <c r="AJ14" s="751">
        <v>107.44</v>
      </c>
      <c r="AK14" s="450">
        <v>107.44</v>
      </c>
      <c r="AL14" s="450">
        <v>107.44</v>
      </c>
      <c r="AM14" s="752">
        <f>+AL14</f>
        <v>107.44</v>
      </c>
      <c r="AN14" s="752"/>
      <c r="AO14" s="752"/>
      <c r="AP14" s="752"/>
      <c r="AQ14" s="734">
        <f t="shared" si="2"/>
        <v>483.48</v>
      </c>
      <c r="AR14" s="735">
        <f>SUM(AE14:AP14)</f>
        <v>483.48</v>
      </c>
      <c r="AS14" s="736">
        <f>E14-AR14</f>
        <v>161.21399999999994</v>
      </c>
      <c r="AT14" s="737"/>
      <c r="AU14" s="737"/>
      <c r="AV14" s="738" t="s">
        <v>371</v>
      </c>
      <c r="AW14" s="742" t="s">
        <v>376</v>
      </c>
    </row>
    <row r="15" spans="2:56" x14ac:dyDescent="0.25">
      <c r="B15" s="471" t="s">
        <v>593</v>
      </c>
      <c r="C15" s="465" t="s">
        <v>130</v>
      </c>
      <c r="D15" s="465" t="s">
        <v>131</v>
      </c>
      <c r="E15" s="585">
        <v>11209.657999999999</v>
      </c>
      <c r="F15" s="467">
        <v>45423</v>
      </c>
      <c r="G15" s="467">
        <v>45607</v>
      </c>
      <c r="H15" s="753" t="s">
        <v>602</v>
      </c>
      <c r="I15" s="754">
        <v>6</v>
      </c>
      <c r="J15" s="585">
        <f>+E15/I15</f>
        <v>1868.2763333333332</v>
      </c>
      <c r="K15" s="459"/>
      <c r="L15" s="459"/>
      <c r="M15" s="459"/>
      <c r="N15" s="459"/>
      <c r="O15" s="755"/>
      <c r="P15" s="756"/>
      <c r="Q15" s="757"/>
      <c r="R15" s="758"/>
      <c r="T15" s="129"/>
      <c r="U15" s="594"/>
      <c r="V15" s="745"/>
      <c r="W15" s="745"/>
      <c r="X15" s="745"/>
      <c r="Y15" s="745"/>
      <c r="Z15" s="725"/>
      <c r="AA15" s="745"/>
      <c r="AB15" s="745"/>
      <c r="AC15" s="745"/>
      <c r="AD15" s="745"/>
      <c r="AE15" s="449"/>
      <c r="AF15" s="449"/>
      <c r="AG15" s="449"/>
      <c r="AH15" s="450"/>
      <c r="AI15" s="450"/>
      <c r="AJ15" s="450"/>
      <c r="AK15" s="450">
        <v>934.13816666666662</v>
      </c>
      <c r="AL15" s="450">
        <v>1868.2763333333332</v>
      </c>
      <c r="AM15" s="752">
        <f>+AL15</f>
        <v>1868.2763333333332</v>
      </c>
      <c r="AN15" s="752"/>
      <c r="AO15" s="752"/>
      <c r="AP15" s="752"/>
      <c r="AQ15" s="734">
        <f t="shared" si="2"/>
        <v>4670.6908333333331</v>
      </c>
      <c r="AR15" s="735">
        <f>SUM(AE15:AP15)</f>
        <v>4670.6908333333331</v>
      </c>
      <c r="AS15" s="734">
        <f t="shared" ref="AS15:AS16" si="6">E15-AR15</f>
        <v>6538.9671666666663</v>
      </c>
      <c r="AT15" s="737"/>
      <c r="AU15" s="737"/>
      <c r="AV15" s="759" t="s">
        <v>603</v>
      </c>
      <c r="AW15" s="742" t="s">
        <v>604</v>
      </c>
    </row>
    <row r="16" spans="2:56" ht="15.75" thickBot="1" x14ac:dyDescent="0.3">
      <c r="B16" s="760" t="s">
        <v>593</v>
      </c>
      <c r="C16" s="457" t="s">
        <v>130</v>
      </c>
      <c r="D16" s="457" t="s">
        <v>131</v>
      </c>
      <c r="E16" s="519">
        <v>2789.98</v>
      </c>
      <c r="F16" s="458">
        <v>45439</v>
      </c>
      <c r="G16" s="458">
        <v>45607</v>
      </c>
      <c r="H16" s="761" t="s">
        <v>602</v>
      </c>
      <c r="I16" s="762">
        <v>6</v>
      </c>
      <c r="J16" s="519">
        <f>+E16/I16</f>
        <v>464.99666666666667</v>
      </c>
      <c r="K16" s="459"/>
      <c r="L16" s="459"/>
      <c r="M16" s="459"/>
      <c r="N16" s="459"/>
      <c r="O16" s="755"/>
      <c r="P16" s="756"/>
      <c r="Q16" s="757"/>
      <c r="R16" s="758"/>
      <c r="T16" s="129"/>
      <c r="U16" s="594"/>
      <c r="V16" s="745"/>
      <c r="W16" s="745"/>
      <c r="X16" s="745"/>
      <c r="Y16" s="745"/>
      <c r="Z16" s="725"/>
      <c r="AA16" s="745"/>
      <c r="AB16" s="745"/>
      <c r="AC16" s="745"/>
      <c r="AD16" s="745"/>
      <c r="AE16" s="449"/>
      <c r="AF16" s="449"/>
      <c r="AG16" s="449"/>
      <c r="AH16" s="450"/>
      <c r="AI16" s="450"/>
      <c r="AJ16" s="450"/>
      <c r="AK16" s="450">
        <v>232.49833333333333</v>
      </c>
      <c r="AL16" s="752">
        <v>464.99666666666667</v>
      </c>
      <c r="AM16" s="752">
        <f>+AL16</f>
        <v>464.99666666666667</v>
      </c>
      <c r="AN16" s="752"/>
      <c r="AO16" s="752"/>
      <c r="AP16" s="752"/>
      <c r="AQ16" s="734">
        <f t="shared" si="2"/>
        <v>1162.4916666666668</v>
      </c>
      <c r="AR16" s="735">
        <f t="shared" ref="AR16" si="7">SUM(AE16:AP16)</f>
        <v>1162.4916666666668</v>
      </c>
      <c r="AS16" s="734">
        <f t="shared" si="6"/>
        <v>1627.4883333333332</v>
      </c>
      <c r="AT16" s="737"/>
      <c r="AU16" s="737"/>
      <c r="AV16" s="759" t="s">
        <v>603</v>
      </c>
      <c r="AW16" s="742" t="s">
        <v>605</v>
      </c>
    </row>
    <row r="17" spans="2:53" ht="15.75" thickBot="1" x14ac:dyDescent="0.3">
      <c r="B17" s="471"/>
      <c r="C17" s="472"/>
      <c r="D17" s="472"/>
      <c r="E17" s="473" t="s">
        <v>20</v>
      </c>
      <c r="F17" s="473"/>
      <c r="G17" s="473"/>
      <c r="H17" s="473"/>
      <c r="I17" s="473"/>
      <c r="J17" s="473"/>
      <c r="K17" s="474">
        <f>SUM(K3:K14)</f>
        <v>5329.3327499999996</v>
      </c>
      <c r="L17" s="474">
        <f>SUM(L3:L14)</f>
        <v>11768.65</v>
      </c>
      <c r="M17" s="474">
        <f>SUM(M3:M14)</f>
        <v>17582.079999999998</v>
      </c>
      <c r="N17" s="474">
        <f>SUM(N3:N14)</f>
        <v>23549.690000000002</v>
      </c>
      <c r="O17" s="475">
        <f>SUM(O3:O14)</f>
        <v>28208.532416666665</v>
      </c>
      <c r="P17" s="641"/>
      <c r="Q17" s="642"/>
      <c r="R17" s="643"/>
      <c r="S17" s="644"/>
      <c r="T17" s="645"/>
      <c r="U17" s="642"/>
      <c r="V17" s="763">
        <f t="shared" ref="V17:AJ17" si="8">SUM(V3:V14)</f>
        <v>1180.73</v>
      </c>
      <c r="W17" s="763">
        <f t="shared" si="8"/>
        <v>1180.73</v>
      </c>
      <c r="X17" s="763">
        <f t="shared" si="8"/>
        <v>1180.73</v>
      </c>
      <c r="Y17" s="763">
        <f t="shared" si="8"/>
        <v>1180.73</v>
      </c>
      <c r="Z17" s="763">
        <f t="shared" si="8"/>
        <v>1251.6300000000001</v>
      </c>
      <c r="AA17" s="763">
        <f t="shared" si="8"/>
        <v>1180.73</v>
      </c>
      <c r="AB17" s="763">
        <f t="shared" si="8"/>
        <v>1251.6200000000001</v>
      </c>
      <c r="AC17" s="763">
        <f t="shared" si="8"/>
        <v>3039.8576666666668</v>
      </c>
      <c r="AD17" s="763">
        <f t="shared" si="8"/>
        <v>5480.0694999999996</v>
      </c>
      <c r="AE17" s="476">
        <f>SUM(AE3:AE14)</f>
        <v>5884.3194999999996</v>
      </c>
      <c r="AF17" s="476">
        <f>SUM(AF3:AF14)</f>
        <v>5884.3294999999998</v>
      </c>
      <c r="AG17" s="476">
        <f t="shared" si="8"/>
        <v>5813.4295000000002</v>
      </c>
      <c r="AH17" s="476">
        <f t="shared" si="8"/>
        <v>5967.61175</v>
      </c>
      <c r="AI17" s="477">
        <f t="shared" si="8"/>
        <v>4658.8318333333345</v>
      </c>
      <c r="AJ17" s="477">
        <f t="shared" si="8"/>
        <v>3993.5715000000005</v>
      </c>
      <c r="AK17" s="735">
        <f>SUM(AK3:AK16)</f>
        <v>3460.4827500000001</v>
      </c>
      <c r="AL17" s="735">
        <f>SUM(AL3:AL16)</f>
        <v>4627.1192500000006</v>
      </c>
      <c r="AM17" s="735">
        <f>SUM(AM3:AM16)</f>
        <v>4627.1192500000006</v>
      </c>
      <c r="AN17" s="478"/>
      <c r="AO17" s="478"/>
      <c r="AP17" s="478"/>
      <c r="AQ17" s="646">
        <f>SUM(AQ3:AQ16)</f>
        <v>44916.814833333345</v>
      </c>
      <c r="AR17" s="647">
        <f>SUM(AR3:AR16)</f>
        <v>60548.166583333339</v>
      </c>
      <c r="AS17" s="764">
        <f>SUM(AS3:AS16)</f>
        <v>17614.41441666667</v>
      </c>
      <c r="AT17" s="765">
        <f>+G53</f>
        <v>17614.400000000001</v>
      </c>
      <c r="AU17" s="766">
        <f>+AT17-AS17</f>
        <v>-1.4416666668694234E-2</v>
      </c>
      <c r="AV17" s="648"/>
    </row>
    <row r="18" spans="2:53" ht="16.5" customHeight="1" thickBot="1" x14ac:dyDescent="0.3">
      <c r="B18" s="767" t="s">
        <v>10</v>
      </c>
      <c r="E18" s="31"/>
      <c r="J18" s="768"/>
      <c r="K18" s="31">
        <f>K17</f>
        <v>5329.3327499999996</v>
      </c>
      <c r="L18" s="31">
        <f>L17-K17</f>
        <v>6439.3172500000001</v>
      </c>
      <c r="M18" s="31">
        <f>M17-L17</f>
        <v>5813.4299999999985</v>
      </c>
      <c r="N18" s="31">
        <f>N17-M17</f>
        <v>5967.6100000000042</v>
      </c>
      <c r="O18" s="31">
        <f>O17-N17</f>
        <v>4658.8424166666628</v>
      </c>
      <c r="P18" s="31"/>
      <c r="Q18" s="31">
        <f>SUM(Q3:Q11)</f>
        <v>27587280.916666668</v>
      </c>
      <c r="R18" s="31">
        <f>SUM(R3:R14)</f>
        <v>28066.752416666666</v>
      </c>
      <c r="S18" s="31"/>
      <c r="T18" s="31">
        <f>SUM(R6:R14)</f>
        <v>21854.729666666666</v>
      </c>
      <c r="U18" s="31" t="s">
        <v>633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G18" s="129"/>
      <c r="AQ18" s="4"/>
      <c r="AT18" t="s">
        <v>20</v>
      </c>
      <c r="AU18" s="769"/>
      <c r="AV18" s="770"/>
      <c r="BA18" s="683"/>
    </row>
    <row r="19" spans="2:53" ht="24" customHeight="1" thickBot="1" x14ac:dyDescent="0.3">
      <c r="B19" s="771" t="s">
        <v>634</v>
      </c>
      <c r="C19" s="772"/>
      <c r="D19" s="772"/>
      <c r="E19" s="773"/>
      <c r="F19" s="772"/>
      <c r="G19" s="772"/>
      <c r="H19" s="772"/>
      <c r="I19" s="774"/>
      <c r="J19" s="775"/>
      <c r="K19" s="775"/>
      <c r="L19" s="775"/>
      <c r="M19" s="775"/>
      <c r="N19" s="775" t="s">
        <v>20</v>
      </c>
      <c r="O19" s="775"/>
      <c r="P19" s="775"/>
      <c r="Q19" s="775"/>
      <c r="R19" s="775"/>
      <c r="S19" s="775"/>
      <c r="T19" s="775">
        <f>+T18*1000</f>
        <v>21854729.666666668</v>
      </c>
      <c r="U19" s="775"/>
      <c r="V19" s="775"/>
      <c r="W19" s="775"/>
      <c r="X19" s="775"/>
      <c r="Y19" s="775"/>
      <c r="Z19" s="775"/>
      <c r="AA19" s="775"/>
      <c r="AB19" s="775"/>
      <c r="AC19" s="775"/>
      <c r="AD19" s="775"/>
      <c r="AE19" s="776">
        <f>SUM(AE5:AE14)</f>
        <v>4703.5895</v>
      </c>
      <c r="AF19" s="776">
        <f>SUM(AF5:AF14)</f>
        <v>4703.5895</v>
      </c>
      <c r="AG19" s="777">
        <f>SUM(AG6:AG14)</f>
        <v>4632.6995000000006</v>
      </c>
      <c r="AH19" s="776">
        <f>SUM(AH6:AH14)</f>
        <v>4632.6995000000006</v>
      </c>
      <c r="AI19" s="778">
        <f>SUM(AI8:AI14)</f>
        <v>3323.9218333333329</v>
      </c>
      <c r="AJ19" s="776">
        <f>SUM(AJ8:AJ14)</f>
        <v>2658.6614999999997</v>
      </c>
      <c r="AK19" s="776">
        <f>SUM(AK12:AK16)</f>
        <v>2125.5727500000003</v>
      </c>
      <c r="AL19" s="776">
        <f>+AL12+AL13+AL14+AL15+AL16</f>
        <v>3292.2092499999999</v>
      </c>
      <c r="AM19" s="776"/>
      <c r="AN19" s="776"/>
      <c r="AO19" s="776"/>
      <c r="AP19" s="776"/>
      <c r="AQ19" s="779"/>
      <c r="AR19" s="414"/>
      <c r="AS19" s="414"/>
      <c r="AT19" s="414"/>
      <c r="AU19" s="414"/>
      <c r="AV19" s="780"/>
      <c r="AW19" s="620" t="s">
        <v>635</v>
      </c>
      <c r="AX19" s="683"/>
    </row>
    <row r="20" spans="2:53" x14ac:dyDescent="0.25">
      <c r="T20" s="129"/>
      <c r="AL20" s="129"/>
      <c r="AQ20" s="395"/>
      <c r="AW20" s="129">
        <f>SUM(AE19:AL19)</f>
        <v>30072.943333333333</v>
      </c>
    </row>
    <row r="21" spans="2:53" x14ac:dyDescent="0.25">
      <c r="R21" s="129"/>
      <c r="AL21" s="129"/>
      <c r="AQ21" s="395"/>
      <c r="AV21" s="129"/>
      <c r="AW21" s="129"/>
    </row>
    <row r="22" spans="2:53" x14ac:dyDescent="0.25">
      <c r="AK22" s="781"/>
      <c r="AQ22" s="395"/>
      <c r="AX22" s="129"/>
    </row>
    <row r="23" spans="2:53" x14ac:dyDescent="0.25">
      <c r="C23" s="782"/>
      <c r="G23" s="31" t="s">
        <v>636</v>
      </c>
      <c r="Q23" s="129"/>
      <c r="AQ23" s="129"/>
      <c r="AX23" s="129"/>
    </row>
    <row r="24" spans="2:53" x14ac:dyDescent="0.25">
      <c r="C24" s="782"/>
      <c r="G24" s="783">
        <v>45292</v>
      </c>
      <c r="H24" s="783"/>
      <c r="I24" s="784"/>
      <c r="J24" s="785">
        <v>1180732.75</v>
      </c>
      <c r="K24" s="783"/>
      <c r="L24" s="783"/>
      <c r="M24" s="783"/>
      <c r="N24" s="783"/>
      <c r="O24" s="786">
        <v>1180732.75</v>
      </c>
      <c r="Q24" s="4"/>
      <c r="S24" s="683"/>
      <c r="AV24" s="787"/>
    </row>
    <row r="25" spans="2:53" x14ac:dyDescent="0.25">
      <c r="E25" s="683"/>
      <c r="G25" s="783">
        <v>45323</v>
      </c>
      <c r="H25" s="783"/>
      <c r="I25" s="784"/>
      <c r="J25" s="785">
        <v>1180732.75</v>
      </c>
      <c r="K25" s="783"/>
      <c r="L25" s="783"/>
      <c r="M25" s="783"/>
      <c r="N25" s="783"/>
      <c r="O25" s="786">
        <v>1180732.75</v>
      </c>
      <c r="Q25" s="4"/>
      <c r="S25" s="683"/>
      <c r="AV25" s="129"/>
    </row>
    <row r="26" spans="2:53" x14ac:dyDescent="0.25">
      <c r="E26" s="788"/>
      <c r="G26" s="783">
        <v>45352</v>
      </c>
      <c r="H26" s="783"/>
      <c r="I26" s="784"/>
      <c r="J26" s="785">
        <v>1180732.75</v>
      </c>
      <c r="K26" s="783"/>
      <c r="L26" s="783"/>
      <c r="M26" s="783"/>
      <c r="N26" s="783"/>
      <c r="O26" s="786">
        <v>1180732.75</v>
      </c>
      <c r="Q26" s="683"/>
      <c r="R26" s="683"/>
      <c r="AQ26" s="683"/>
      <c r="AV26" s="129"/>
    </row>
    <row r="27" spans="2:53" x14ac:dyDescent="0.25">
      <c r="G27" s="783">
        <v>45383</v>
      </c>
      <c r="H27" s="783"/>
      <c r="I27" s="784"/>
      <c r="J27" s="789">
        <v>1334912.25</v>
      </c>
      <c r="K27" s="783"/>
      <c r="L27" s="783"/>
      <c r="M27" s="783"/>
      <c r="N27" s="783"/>
      <c r="O27" s="790">
        <v>1334912.25</v>
      </c>
      <c r="P27" s="129"/>
      <c r="AF27" s="129"/>
      <c r="AQ27" s="683"/>
      <c r="AS27" s="129"/>
      <c r="AT27" s="129"/>
      <c r="AV27" s="787"/>
    </row>
    <row r="28" spans="2:53" x14ac:dyDescent="0.25">
      <c r="G28" s="783">
        <v>45413</v>
      </c>
      <c r="H28" s="783"/>
      <c r="I28" s="784"/>
      <c r="J28" s="789">
        <f>+J27</f>
        <v>1334912.25</v>
      </c>
      <c r="K28" s="791"/>
      <c r="L28" s="791"/>
      <c r="M28" s="791"/>
      <c r="N28" s="791"/>
      <c r="O28" s="792">
        <f>+O27</f>
        <v>1334912.25</v>
      </c>
      <c r="P28" s="129">
        <f>+O27+O28</f>
        <v>2669824.5</v>
      </c>
      <c r="AE28" s="129"/>
      <c r="AQ28" s="683"/>
      <c r="AV28" s="129"/>
    </row>
    <row r="29" spans="2:53" x14ac:dyDescent="0.25">
      <c r="G29" s="783">
        <v>45444</v>
      </c>
      <c r="H29" s="783"/>
      <c r="I29" s="784"/>
      <c r="J29" s="789">
        <f>+J28</f>
        <v>1334912.25</v>
      </c>
      <c r="K29" s="791"/>
      <c r="L29" s="791"/>
      <c r="M29" s="791"/>
      <c r="N29" s="791"/>
      <c r="O29" s="792"/>
      <c r="AQ29" s="129"/>
    </row>
    <row r="30" spans="2:53" x14ac:dyDescent="0.25">
      <c r="G30" s="783">
        <v>45474</v>
      </c>
      <c r="H30" s="783"/>
      <c r="I30" s="784"/>
      <c r="J30" s="789">
        <f>+J29</f>
        <v>1334912.25</v>
      </c>
      <c r="K30" s="791"/>
      <c r="L30" s="791"/>
      <c r="M30" s="791"/>
      <c r="N30" s="791"/>
      <c r="O30" s="792"/>
      <c r="AE30" s="129"/>
      <c r="AV30" s="129"/>
      <c r="AW30" s="129"/>
    </row>
    <row r="31" spans="2:53" x14ac:dyDescent="0.25">
      <c r="G31" s="783">
        <v>45505</v>
      </c>
      <c r="H31" s="783"/>
      <c r="I31" s="784"/>
      <c r="J31" s="789">
        <f>+J30</f>
        <v>1334912.25</v>
      </c>
      <c r="K31" s="791"/>
      <c r="L31" s="791"/>
      <c r="M31" s="791"/>
      <c r="N31" s="791"/>
      <c r="O31" s="792"/>
      <c r="Q31" s="683"/>
      <c r="AF31" s="129"/>
      <c r="AV31" s="129"/>
    </row>
    <row r="32" spans="2:53" x14ac:dyDescent="0.25">
      <c r="G32" s="783">
        <v>45536</v>
      </c>
      <c r="H32" s="783"/>
      <c r="I32" s="784"/>
      <c r="J32" s="789">
        <f>+J31</f>
        <v>1334912.25</v>
      </c>
      <c r="K32" s="791"/>
      <c r="L32" s="791"/>
      <c r="M32" s="791"/>
      <c r="N32" s="791"/>
      <c r="O32" s="793"/>
      <c r="AV32" s="129"/>
    </row>
    <row r="33" spans="2:48" x14ac:dyDescent="0.25">
      <c r="G33" s="791">
        <v>45566</v>
      </c>
      <c r="H33" s="791"/>
      <c r="I33" s="794"/>
      <c r="J33" s="791"/>
      <c r="K33" s="791"/>
      <c r="L33" s="791"/>
      <c r="M33" s="791"/>
      <c r="N33" s="791"/>
      <c r="O33" s="793"/>
    </row>
    <row r="34" spans="2:48" x14ac:dyDescent="0.25">
      <c r="G34" s="791">
        <v>45597</v>
      </c>
      <c r="H34" s="791"/>
      <c r="I34" s="794"/>
      <c r="J34" s="791"/>
      <c r="K34" s="791"/>
      <c r="L34" s="791"/>
      <c r="M34" s="791"/>
      <c r="N34" s="791"/>
      <c r="O34" s="793"/>
      <c r="AV34" s="4"/>
    </row>
    <row r="35" spans="2:48" x14ac:dyDescent="0.25">
      <c r="G35" s="791">
        <v>45627</v>
      </c>
      <c r="H35" s="791"/>
      <c r="I35" s="794"/>
      <c r="J35" s="791"/>
      <c r="K35" s="791"/>
      <c r="L35" s="791"/>
      <c r="M35" s="791"/>
      <c r="N35" s="791"/>
      <c r="O35" s="793"/>
      <c r="AV35" s="129"/>
    </row>
    <row r="36" spans="2:48" x14ac:dyDescent="0.25">
      <c r="J36" s="795">
        <f>SUM(J24:J35)</f>
        <v>11551671.75</v>
      </c>
      <c r="O36" s="795">
        <f>SUM(O24:O35)</f>
        <v>6212022.75</v>
      </c>
      <c r="AE36" s="129"/>
      <c r="AF36" s="129"/>
      <c r="AV36" s="129"/>
    </row>
    <row r="37" spans="2:48" x14ac:dyDescent="0.25">
      <c r="J37" s="782">
        <f>+J36/1000</f>
        <v>11551.67175</v>
      </c>
      <c r="AF37" s="129"/>
      <c r="AV37" s="4"/>
    </row>
    <row r="38" spans="2:48" x14ac:dyDescent="0.25">
      <c r="AV38" s="129"/>
    </row>
    <row r="39" spans="2:48" x14ac:dyDescent="0.25">
      <c r="AV39" s="129"/>
    </row>
    <row r="40" spans="2:48" ht="15.75" thickBot="1" x14ac:dyDescent="0.3"/>
    <row r="41" spans="2:48" ht="15.75" thickBot="1" x14ac:dyDescent="0.3">
      <c r="B41" s="1018" t="s">
        <v>637</v>
      </c>
      <c r="C41" s="1019"/>
      <c r="D41" s="1019"/>
      <c r="E41" s="1019"/>
      <c r="F41" s="1019"/>
      <c r="G41" s="1020"/>
      <c r="H41" s="796"/>
      <c r="J41" s="472"/>
      <c r="K41" s="472"/>
      <c r="L41" s="472"/>
      <c r="M41" s="472"/>
      <c r="N41" s="472"/>
      <c r="P41" s="683"/>
      <c r="Q41" s="129"/>
      <c r="R41" s="129"/>
    </row>
    <row r="42" spans="2:48" ht="15.75" thickBot="1" x14ac:dyDescent="0.3">
      <c r="B42" s="797" t="s">
        <v>638</v>
      </c>
      <c r="C42" s="798" t="s">
        <v>136</v>
      </c>
      <c r="D42" s="799" t="s">
        <v>639</v>
      </c>
      <c r="E42" s="799" t="s">
        <v>640</v>
      </c>
      <c r="F42" s="799" t="s">
        <v>641</v>
      </c>
      <c r="G42" s="799" t="s">
        <v>642</v>
      </c>
      <c r="H42" s="800"/>
      <c r="I42" s="801"/>
      <c r="J42" s="800"/>
      <c r="K42" s="800"/>
      <c r="L42" s="800"/>
      <c r="M42" s="800"/>
      <c r="N42" s="800"/>
      <c r="P42" s="683"/>
      <c r="Q42" s="129"/>
      <c r="R42" s="129"/>
      <c r="AV42" s="129"/>
    </row>
    <row r="43" spans="2:48" ht="15.75" thickBot="1" x14ac:dyDescent="0.3">
      <c r="B43" s="739" t="s">
        <v>643</v>
      </c>
      <c r="C43" t="s">
        <v>644</v>
      </c>
      <c r="D43" s="802">
        <v>0</v>
      </c>
      <c r="E43" s="4">
        <f>+G43</f>
        <v>44916.865180000001</v>
      </c>
      <c r="F43" s="802">
        <v>0</v>
      </c>
      <c r="G43" s="689">
        <f>+G44</f>
        <v>44916.865180000001</v>
      </c>
      <c r="H43" s="395">
        <f>+AQ17</f>
        <v>44916.814833333345</v>
      </c>
      <c r="I43" s="803">
        <f>+H43-G43</f>
        <v>-5.0346666655968875E-2</v>
      </c>
      <c r="J43" s="395"/>
      <c r="K43" s="395"/>
      <c r="L43" s="395"/>
      <c r="M43" s="395"/>
      <c r="N43" s="395"/>
      <c r="P43" s="129"/>
      <c r="AF43" s="129"/>
      <c r="AV43" s="129"/>
    </row>
    <row r="44" spans="2:48" x14ac:dyDescent="0.25">
      <c r="B44" s="739" t="s">
        <v>645</v>
      </c>
      <c r="C44" t="s">
        <v>646</v>
      </c>
      <c r="D44" s="802">
        <v>0</v>
      </c>
      <c r="E44" s="4">
        <f>+G44</f>
        <v>44916.865180000001</v>
      </c>
      <c r="F44" s="802">
        <v>0</v>
      </c>
      <c r="G44" s="264">
        <f>+G46+G49</f>
        <v>44916.865180000001</v>
      </c>
      <c r="H44" s="395"/>
      <c r="I44" s="803"/>
      <c r="J44" s="395" t="s">
        <v>647</v>
      </c>
      <c r="K44" s="395"/>
      <c r="L44" s="395"/>
      <c r="M44" s="395"/>
      <c r="N44" s="395"/>
      <c r="P44" s="129"/>
      <c r="Q44" s="129"/>
      <c r="AF44" s="129"/>
      <c r="AG44" s="129"/>
      <c r="AH44" s="129"/>
      <c r="AV44" s="129"/>
    </row>
    <row r="45" spans="2:48" ht="15.75" thickBot="1" x14ac:dyDescent="0.3">
      <c r="B45" s="739" t="s">
        <v>648</v>
      </c>
      <c r="C45" t="s">
        <v>649</v>
      </c>
      <c r="D45" s="802">
        <v>0</v>
      </c>
      <c r="E45" s="4">
        <v>11551.67175</v>
      </c>
      <c r="F45" s="802">
        <v>0</v>
      </c>
      <c r="G45" s="264">
        <f>+G46</f>
        <v>11551.67175</v>
      </c>
      <c r="H45" s="804"/>
      <c r="I45" s="805"/>
      <c r="J45" s="804">
        <v>11551671.75</v>
      </c>
      <c r="K45" s="804"/>
      <c r="L45" s="804"/>
      <c r="M45" s="804"/>
      <c r="N45" s="804"/>
      <c r="AG45" s="129"/>
      <c r="AV45" s="683"/>
    </row>
    <row r="46" spans="2:48" ht="15.75" thickBot="1" x14ac:dyDescent="0.3">
      <c r="B46" s="739" t="s">
        <v>650</v>
      </c>
      <c r="C46" t="s">
        <v>649</v>
      </c>
      <c r="D46" s="802">
        <v>0</v>
      </c>
      <c r="E46" s="4">
        <v>11551.67175</v>
      </c>
      <c r="F46" s="802">
        <v>0</v>
      </c>
      <c r="G46" s="806">
        <f>+G47</f>
        <v>11551.67175</v>
      </c>
      <c r="H46" s="395"/>
      <c r="I46" s="803"/>
      <c r="J46" s="807">
        <f>+J45/1000</f>
        <v>11551.67175</v>
      </c>
      <c r="K46" s="395"/>
      <c r="L46" s="395"/>
      <c r="M46" s="395"/>
      <c r="N46" s="395"/>
      <c r="O46" s="395"/>
      <c r="P46" s="4"/>
      <c r="AF46" s="4"/>
      <c r="AV46" s="129"/>
    </row>
    <row r="47" spans="2:48" x14ac:dyDescent="0.25">
      <c r="B47" s="739" t="s">
        <v>651</v>
      </c>
      <c r="C47" t="s">
        <v>649</v>
      </c>
      <c r="D47" s="802">
        <v>0</v>
      </c>
      <c r="E47" s="4">
        <v>11551.67175</v>
      </c>
      <c r="F47" s="802">
        <v>0</v>
      </c>
      <c r="G47" s="264">
        <f>+J46</f>
        <v>11551.67175</v>
      </c>
      <c r="H47" s="804"/>
      <c r="I47" s="805"/>
      <c r="J47" s="804"/>
      <c r="K47" s="804"/>
      <c r="L47" s="804"/>
      <c r="M47" s="804"/>
      <c r="N47" s="804"/>
      <c r="P47" s="129"/>
    </row>
    <row r="48" spans="2:48" ht="15.75" thickBot="1" x14ac:dyDescent="0.3">
      <c r="B48" s="739" t="s">
        <v>652</v>
      </c>
      <c r="C48" t="s">
        <v>653</v>
      </c>
      <c r="D48" s="802">
        <v>0</v>
      </c>
      <c r="E48" s="4">
        <v>33365.193429999999</v>
      </c>
      <c r="F48" s="802">
        <v>0</v>
      </c>
      <c r="G48" s="264">
        <f>+G50</f>
        <v>33365.193429999999</v>
      </c>
      <c r="H48" s="804"/>
      <c r="I48" s="805"/>
      <c r="J48" s="804">
        <v>33365193.43</v>
      </c>
      <c r="K48" s="804"/>
      <c r="L48" s="804"/>
      <c r="M48" s="804"/>
      <c r="N48" s="804"/>
      <c r="P48" s="129"/>
    </row>
    <row r="49" spans="2:48" ht="15.75" thickBot="1" x14ac:dyDescent="0.3">
      <c r="B49" s="739" t="s">
        <v>654</v>
      </c>
      <c r="C49" t="s">
        <v>653</v>
      </c>
      <c r="D49" s="802">
        <v>0</v>
      </c>
      <c r="E49" s="4">
        <v>33365.193429999999</v>
      </c>
      <c r="F49" s="802">
        <v>0</v>
      </c>
      <c r="G49" s="806">
        <f>+G50</f>
        <v>33365.193429999999</v>
      </c>
      <c r="H49" s="804"/>
      <c r="I49" s="805"/>
      <c r="J49" s="807">
        <f>+J48/1000</f>
        <v>33365.193429999999</v>
      </c>
      <c r="K49" s="804"/>
      <c r="L49" s="804"/>
      <c r="M49" s="804"/>
      <c r="N49" s="804"/>
      <c r="O49" s="395"/>
      <c r="P49" s="683"/>
      <c r="AV49" s="4"/>
    </row>
    <row r="50" spans="2:48" x14ac:dyDescent="0.25">
      <c r="B50" s="739" t="s">
        <v>655</v>
      </c>
      <c r="C50" t="s">
        <v>653</v>
      </c>
      <c r="D50" s="802">
        <v>0</v>
      </c>
      <c r="E50" s="4">
        <v>33365.193429999999</v>
      </c>
      <c r="F50" s="802">
        <v>0</v>
      </c>
      <c r="G50" s="264">
        <f>+J49</f>
        <v>33365.193429999999</v>
      </c>
      <c r="J50" s="395">
        <f>+J49+J46</f>
        <v>44916.865180000001</v>
      </c>
      <c r="P50" s="129"/>
      <c r="AV50" s="4"/>
    </row>
    <row r="51" spans="2:48" ht="15.75" thickBot="1" x14ac:dyDescent="0.3">
      <c r="J51" s="782"/>
      <c r="P51" s="4"/>
    </row>
    <row r="52" spans="2:48" ht="15.75" thickBot="1" x14ac:dyDescent="0.3">
      <c r="B52" s="1018" t="s">
        <v>656</v>
      </c>
      <c r="C52" s="1019"/>
      <c r="D52" s="1019"/>
      <c r="E52" s="1019"/>
      <c r="F52" s="1019"/>
      <c r="G52" s="1020"/>
      <c r="H52" s="782"/>
      <c r="I52" s="808"/>
      <c r="J52" s="782"/>
      <c r="K52" s="782"/>
      <c r="L52" s="782"/>
      <c r="M52" s="782"/>
      <c r="N52" s="782"/>
    </row>
    <row r="53" spans="2:48" x14ac:dyDescent="0.25">
      <c r="B53" s="809" t="s">
        <v>657</v>
      </c>
      <c r="C53" t="s">
        <v>658</v>
      </c>
      <c r="D53" s="802">
        <v>26295.622239999997</v>
      </c>
      <c r="E53" s="4">
        <v>36235.639360000001</v>
      </c>
      <c r="F53" s="802">
        <v>44916.865180000001</v>
      </c>
      <c r="G53" s="782">
        <v>17614.400000000001</v>
      </c>
      <c r="H53" s="782">
        <f>+AS17</f>
        <v>17614.41441666667</v>
      </c>
      <c r="I53" s="808">
        <f>+G53-H53</f>
        <v>-1.4416666668694234E-2</v>
      </c>
      <c r="J53" s="782"/>
      <c r="K53" s="782"/>
      <c r="L53" s="782"/>
      <c r="M53" s="782"/>
      <c r="N53" s="782"/>
    </row>
    <row r="54" spans="2:48" x14ac:dyDescent="0.25">
      <c r="B54" s="809" t="s">
        <v>659</v>
      </c>
      <c r="C54" t="s">
        <v>660</v>
      </c>
      <c r="D54" s="802">
        <v>26295.622239999997</v>
      </c>
      <c r="E54" s="4">
        <v>36235.639360000001</v>
      </c>
      <c r="F54" s="802">
        <v>44916.865180000001</v>
      </c>
      <c r="G54" s="782">
        <v>17614.400000000001</v>
      </c>
      <c r="J54" s="782"/>
      <c r="AF54" s="4"/>
    </row>
    <row r="55" spans="2:48" x14ac:dyDescent="0.25">
      <c r="B55" s="809" t="s">
        <v>661</v>
      </c>
      <c r="C55" t="s">
        <v>662</v>
      </c>
      <c r="D55" s="802">
        <v>26295.622239999997</v>
      </c>
      <c r="E55" s="4">
        <v>36235.639360000001</v>
      </c>
      <c r="F55" s="802">
        <v>44916.865180000001</v>
      </c>
      <c r="G55" s="782">
        <v>17614.400000000001</v>
      </c>
      <c r="J55" s="782">
        <v>17614396.420000002</v>
      </c>
    </row>
    <row r="56" spans="2:48" x14ac:dyDescent="0.25">
      <c r="B56" s="809" t="s">
        <v>663</v>
      </c>
      <c r="C56" t="s">
        <v>597</v>
      </c>
      <c r="D56" s="802">
        <v>26295.622239999997</v>
      </c>
      <c r="E56" s="4">
        <v>36235.639360000001</v>
      </c>
      <c r="F56" s="802">
        <v>44916.865180000001</v>
      </c>
      <c r="G56" s="782">
        <v>17614.400000000001</v>
      </c>
      <c r="J56" s="782">
        <f>+J55/1000</f>
        <v>17614.396420000001</v>
      </c>
    </row>
    <row r="57" spans="2:48" x14ac:dyDescent="0.25">
      <c r="B57" s="809" t="s">
        <v>664</v>
      </c>
      <c r="C57" t="s">
        <v>597</v>
      </c>
      <c r="D57" s="802">
        <v>26295.622239999997</v>
      </c>
      <c r="E57" s="4">
        <v>36235.639360000001</v>
      </c>
      <c r="F57" s="802">
        <v>44916.865180000001</v>
      </c>
      <c r="G57" s="782">
        <v>17614.400000000001</v>
      </c>
      <c r="J57" s="782"/>
    </row>
    <row r="58" spans="2:48" x14ac:dyDescent="0.25">
      <c r="B58" s="809" t="s">
        <v>665</v>
      </c>
      <c r="C58" t="s">
        <v>597</v>
      </c>
      <c r="D58" s="802">
        <v>26295.622239999997</v>
      </c>
      <c r="E58" s="4">
        <v>36235.639360000001</v>
      </c>
      <c r="F58" s="802">
        <v>44916.865180000001</v>
      </c>
      <c r="G58" s="782">
        <v>17614.400000000001</v>
      </c>
      <c r="J58" s="782"/>
    </row>
    <row r="61" spans="2:48" x14ac:dyDescent="0.25">
      <c r="B61" s="810"/>
    </row>
    <row r="62" spans="2:48" x14ac:dyDescent="0.25">
      <c r="B62" s="810"/>
    </row>
    <row r="64" spans="2:48" ht="15.75" thickBot="1" x14ac:dyDescent="0.3"/>
    <row r="65" spans="2:10" ht="17.25" thickBot="1" x14ac:dyDescent="0.35">
      <c r="B65" s="993" t="s">
        <v>607</v>
      </c>
      <c r="C65" s="994"/>
      <c r="D65" s="994"/>
      <c r="E65" s="994"/>
      <c r="F65" s="994"/>
      <c r="G65" s="994"/>
      <c r="H65" s="995"/>
    </row>
    <row r="66" spans="2:10" ht="15.75" thickBot="1" x14ac:dyDescent="0.3">
      <c r="B66" s="996" t="s">
        <v>123</v>
      </c>
      <c r="C66" s="998" t="s">
        <v>124</v>
      </c>
      <c r="D66" s="998" t="s">
        <v>125</v>
      </c>
      <c r="E66" s="998" t="s">
        <v>133</v>
      </c>
      <c r="F66" s="1000" t="s">
        <v>611</v>
      </c>
      <c r="G66" s="1001"/>
      <c r="H66" s="998" t="s">
        <v>589</v>
      </c>
    </row>
    <row r="67" spans="2:10" ht="15.75" thickBot="1" x14ac:dyDescent="0.3">
      <c r="B67" s="997"/>
      <c r="C67" s="999"/>
      <c r="D67" s="999"/>
      <c r="E67" s="999"/>
      <c r="F67" s="62" t="s">
        <v>612</v>
      </c>
      <c r="G67" s="679" t="s">
        <v>359</v>
      </c>
      <c r="H67" s="999"/>
      <c r="J67" s="31">
        <v>17614396.420000002</v>
      </c>
    </row>
    <row r="68" spans="2:10" ht="15.75" thickBot="1" x14ac:dyDescent="0.3">
      <c r="B68" s="722" t="s">
        <v>127</v>
      </c>
      <c r="C68" s="723" t="s">
        <v>128</v>
      </c>
      <c r="D68" s="723" t="s">
        <v>129</v>
      </c>
      <c r="E68" s="811">
        <v>14168.793</v>
      </c>
      <c r="F68" s="812">
        <v>44927</v>
      </c>
      <c r="G68" s="724">
        <v>45291</v>
      </c>
      <c r="H68" s="813">
        <v>2.3000000002866727E-2</v>
      </c>
      <c r="J68" s="782">
        <f>+J67/1000</f>
        <v>17614.396420000001</v>
      </c>
    </row>
    <row r="69" spans="2:10" x14ac:dyDescent="0.25">
      <c r="B69" s="729" t="s">
        <v>127</v>
      </c>
      <c r="C69" s="730" t="s">
        <v>128</v>
      </c>
      <c r="D69" s="730" t="s">
        <v>129</v>
      </c>
      <c r="E69" s="443">
        <v>16018.947</v>
      </c>
      <c r="F69" s="444">
        <v>45292</v>
      </c>
      <c r="G69" s="669">
        <v>45657</v>
      </c>
      <c r="H69" s="686">
        <v>8009.4847500000005</v>
      </c>
    </row>
    <row r="70" spans="2:10" x14ac:dyDescent="0.25">
      <c r="B70" s="665" t="s">
        <v>593</v>
      </c>
      <c r="C70" s="457" t="s">
        <v>130</v>
      </c>
      <c r="D70" s="457" t="s">
        <v>131</v>
      </c>
      <c r="E70" s="443">
        <v>11209.657999999999</v>
      </c>
      <c r="F70" s="458">
        <v>45093</v>
      </c>
      <c r="G70" s="670">
        <v>45241</v>
      </c>
      <c r="H70" s="686">
        <f>+AS15</f>
        <v>6538.9671666666663</v>
      </c>
    </row>
    <row r="71" spans="2:10" x14ac:dyDescent="0.25">
      <c r="B71" s="666" t="s">
        <v>593</v>
      </c>
      <c r="C71" s="465" t="s">
        <v>130</v>
      </c>
      <c r="D71" s="457" t="s">
        <v>131</v>
      </c>
      <c r="E71" s="443">
        <v>2789.98</v>
      </c>
      <c r="F71" s="458">
        <v>45241</v>
      </c>
      <c r="G71" s="671">
        <v>45423</v>
      </c>
      <c r="H71" s="686">
        <f>+AS16</f>
        <v>1627.4883333333332</v>
      </c>
    </row>
    <row r="72" spans="2:10" x14ac:dyDescent="0.25">
      <c r="B72" s="667" t="s">
        <v>370</v>
      </c>
      <c r="C72" s="457" t="s">
        <v>130</v>
      </c>
      <c r="D72" s="457" t="s">
        <v>131</v>
      </c>
      <c r="E72" s="443">
        <v>4446.7470000000003</v>
      </c>
      <c r="F72" s="458">
        <v>45423</v>
      </c>
      <c r="G72" s="670">
        <v>45607</v>
      </c>
      <c r="H72" s="686">
        <f>+AS12</f>
        <v>1111.6799999999994</v>
      </c>
    </row>
    <row r="73" spans="2:10" x14ac:dyDescent="0.25">
      <c r="B73" s="667" t="s">
        <v>373</v>
      </c>
      <c r="C73" s="457" t="s">
        <v>130</v>
      </c>
      <c r="D73" s="457" t="s">
        <v>131</v>
      </c>
      <c r="E73" s="443">
        <v>662.21699999999998</v>
      </c>
      <c r="F73" s="458">
        <v>45423</v>
      </c>
      <c r="G73" s="670">
        <v>45607</v>
      </c>
      <c r="H73" s="686">
        <f>+AS13</f>
        <v>165.55899999999997</v>
      </c>
    </row>
    <row r="74" spans="2:10" ht="15.75" thickBot="1" x14ac:dyDescent="0.3">
      <c r="B74" s="668" t="s">
        <v>375</v>
      </c>
      <c r="C74" s="528" t="s">
        <v>130</v>
      </c>
      <c r="D74" s="528" t="s">
        <v>131</v>
      </c>
      <c r="E74" s="529">
        <v>644.69399999999996</v>
      </c>
      <c r="F74" s="530">
        <v>45423</v>
      </c>
      <c r="G74" s="672">
        <v>45607</v>
      </c>
      <c r="H74" s="531">
        <f>+AS14</f>
        <v>161.21399999999994</v>
      </c>
    </row>
    <row r="75" spans="2:10" ht="15.75" thickBot="1" x14ac:dyDescent="0.3">
      <c r="B75" s="532"/>
      <c r="C75" s="664" t="s">
        <v>19</v>
      </c>
      <c r="D75" s="533"/>
      <c r="E75" s="534" t="s">
        <v>20</v>
      </c>
      <c r="F75" s="533"/>
      <c r="G75" s="533"/>
      <c r="H75" s="535">
        <f>SUM(H68:H74)</f>
        <v>17614.416250000002</v>
      </c>
      <c r="I75" s="814">
        <f>+AS17</f>
        <v>17614.41441666667</v>
      </c>
      <c r="J75" s="795">
        <f>+H75-I75</f>
        <v>1.8333333318878431E-3</v>
      </c>
    </row>
    <row r="76" spans="2:10" x14ac:dyDescent="0.25">
      <c r="C76" s="564"/>
      <c r="E76" s="31" t="s">
        <v>666</v>
      </c>
      <c r="H76" s="675">
        <f>+G53</f>
        <v>17614.400000000001</v>
      </c>
    </row>
    <row r="77" spans="2:10" x14ac:dyDescent="0.25">
      <c r="H77" s="815">
        <f>+H76-H75</f>
        <v>-1.6250000000582077E-2</v>
      </c>
    </row>
    <row r="78" spans="2:10" ht="15.75" thickBot="1" x14ac:dyDescent="0.3"/>
    <row r="79" spans="2:10" ht="17.25" thickBot="1" x14ac:dyDescent="0.35">
      <c r="B79" s="993" t="s">
        <v>615</v>
      </c>
      <c r="C79" s="994"/>
      <c r="D79" s="994"/>
      <c r="E79" s="994"/>
      <c r="F79" s="994"/>
      <c r="G79" s="994"/>
      <c r="H79" s="995"/>
    </row>
    <row r="80" spans="2:10" ht="15.75" thickBot="1" x14ac:dyDescent="0.3">
      <c r="B80" s="996" t="s">
        <v>123</v>
      </c>
      <c r="C80" s="998" t="s">
        <v>124</v>
      </c>
      <c r="D80" s="998" t="s">
        <v>125</v>
      </c>
      <c r="E80" s="998" t="s">
        <v>133</v>
      </c>
      <c r="F80" s="1000" t="s">
        <v>611</v>
      </c>
      <c r="G80" s="1001"/>
      <c r="H80" s="998" t="s">
        <v>614</v>
      </c>
    </row>
    <row r="81" spans="2:10" ht="15.75" thickBot="1" x14ac:dyDescent="0.3">
      <c r="B81" s="997"/>
      <c r="C81" s="999"/>
      <c r="D81" s="999"/>
      <c r="E81" s="999"/>
      <c r="F81" s="62" t="s">
        <v>612</v>
      </c>
      <c r="G81" s="679" t="s">
        <v>359</v>
      </c>
      <c r="H81" s="999"/>
    </row>
    <row r="82" spans="2:10" x14ac:dyDescent="0.25">
      <c r="B82" s="722" t="s">
        <v>127</v>
      </c>
      <c r="C82" s="723" t="s">
        <v>128</v>
      </c>
      <c r="D82" s="723" t="s">
        <v>129</v>
      </c>
      <c r="E82" s="811">
        <v>14168.793</v>
      </c>
      <c r="F82" s="812">
        <v>44927</v>
      </c>
      <c r="G82" s="816">
        <v>45291</v>
      </c>
      <c r="H82" s="817">
        <v>3542.2000000000003</v>
      </c>
    </row>
    <row r="83" spans="2:10" x14ac:dyDescent="0.25">
      <c r="B83" s="567" t="s">
        <v>127</v>
      </c>
      <c r="C83" s="565" t="s">
        <v>128</v>
      </c>
      <c r="D83" s="565" t="s">
        <v>129</v>
      </c>
      <c r="E83" s="519">
        <v>16018.947</v>
      </c>
      <c r="F83" s="458">
        <v>45292</v>
      </c>
      <c r="G83" s="570">
        <v>45657</v>
      </c>
      <c r="H83" s="818">
        <f>+AQ4</f>
        <v>8009.4622499999996</v>
      </c>
    </row>
    <row r="84" spans="2:10" x14ac:dyDescent="0.25">
      <c r="B84" s="567" t="s">
        <v>132</v>
      </c>
      <c r="C84" s="457" t="s">
        <v>130</v>
      </c>
      <c r="D84" s="457" t="s">
        <v>131</v>
      </c>
      <c r="E84" s="519">
        <v>425.35</v>
      </c>
      <c r="F84" s="458">
        <v>45093</v>
      </c>
      <c r="G84" s="570">
        <v>45241</v>
      </c>
      <c r="H84" s="818">
        <f>+AQ5</f>
        <v>141.78</v>
      </c>
    </row>
    <row r="85" spans="2:10" x14ac:dyDescent="0.25">
      <c r="B85" s="462" t="s">
        <v>279</v>
      </c>
      <c r="C85" s="457" t="s">
        <v>130</v>
      </c>
      <c r="D85" s="457" t="s">
        <v>131</v>
      </c>
      <c r="E85" s="519">
        <v>9303.7029999999995</v>
      </c>
      <c r="F85" s="458">
        <v>45241</v>
      </c>
      <c r="G85" s="570">
        <v>45607</v>
      </c>
      <c r="H85" s="818">
        <v>6202.4686666666666</v>
      </c>
    </row>
    <row r="86" spans="2:10" x14ac:dyDescent="0.25">
      <c r="B86" s="462" t="s">
        <v>280</v>
      </c>
      <c r="C86" s="457" t="s">
        <v>130</v>
      </c>
      <c r="D86" s="457" t="s">
        <v>131</v>
      </c>
      <c r="E86" s="519">
        <v>703.30200000000002</v>
      </c>
      <c r="F86" s="458">
        <v>45241</v>
      </c>
      <c r="G86" s="570">
        <v>45423</v>
      </c>
      <c r="H86" s="818">
        <v>468.86799999999999</v>
      </c>
    </row>
    <row r="87" spans="2:10" x14ac:dyDescent="0.25">
      <c r="B87" s="462" t="s">
        <v>282</v>
      </c>
      <c r="C87" s="457" t="s">
        <v>130</v>
      </c>
      <c r="D87" s="457" t="s">
        <v>131</v>
      </c>
      <c r="E87" s="519">
        <v>3329.9340000000002</v>
      </c>
      <c r="F87" s="458">
        <v>45241</v>
      </c>
      <c r="G87" s="570">
        <v>45423</v>
      </c>
      <c r="H87" s="818">
        <v>3329.9340000000002</v>
      </c>
    </row>
    <row r="88" spans="2:10" x14ac:dyDescent="0.25">
      <c r="B88" s="462" t="s">
        <v>281</v>
      </c>
      <c r="C88" s="457" t="s">
        <v>130</v>
      </c>
      <c r="D88" s="457" t="s">
        <v>131</v>
      </c>
      <c r="E88" s="519">
        <v>722.42100000000005</v>
      </c>
      <c r="F88" s="458">
        <v>45241</v>
      </c>
      <c r="G88" s="570">
        <v>45417</v>
      </c>
      <c r="H88" s="818">
        <v>481.61400000000003</v>
      </c>
    </row>
    <row r="89" spans="2:10" x14ac:dyDescent="0.25">
      <c r="B89" s="462" t="s">
        <v>282</v>
      </c>
      <c r="C89" s="457" t="s">
        <v>130</v>
      </c>
      <c r="D89" s="457" t="s">
        <v>131</v>
      </c>
      <c r="E89" s="519">
        <v>8885.8369999999995</v>
      </c>
      <c r="F89" s="458">
        <v>45241</v>
      </c>
      <c r="G89" s="570">
        <v>45423</v>
      </c>
      <c r="H89" s="818">
        <v>8145.3505833333329</v>
      </c>
    </row>
    <row r="90" spans="2:10" x14ac:dyDescent="0.25">
      <c r="B90" s="462" t="s">
        <v>283</v>
      </c>
      <c r="C90" s="457" t="s">
        <v>130</v>
      </c>
      <c r="D90" s="457" t="s">
        <v>131</v>
      </c>
      <c r="E90" s="519">
        <v>4850.9979999999996</v>
      </c>
      <c r="F90" s="458">
        <v>45241</v>
      </c>
      <c r="G90" s="570">
        <v>45423</v>
      </c>
      <c r="H90" s="818">
        <v>4446.7498333333333</v>
      </c>
    </row>
    <row r="91" spans="2:10" x14ac:dyDescent="0.25">
      <c r="B91" s="462" t="s">
        <v>370</v>
      </c>
      <c r="C91" s="457" t="s">
        <v>130</v>
      </c>
      <c r="D91" s="457" t="s">
        <v>131</v>
      </c>
      <c r="E91" s="519">
        <v>4446.7470000000003</v>
      </c>
      <c r="F91" s="458">
        <v>45423</v>
      </c>
      <c r="G91" s="570">
        <v>45607</v>
      </c>
      <c r="H91" s="818">
        <f>+AQ12</f>
        <v>3335.0670000000009</v>
      </c>
    </row>
    <row r="92" spans="2:10" x14ac:dyDescent="0.25">
      <c r="B92" s="462" t="s">
        <v>373</v>
      </c>
      <c r="C92" s="457" t="s">
        <v>130</v>
      </c>
      <c r="D92" s="457" t="s">
        <v>131</v>
      </c>
      <c r="E92" s="519">
        <v>662.21699999999998</v>
      </c>
      <c r="F92" s="458">
        <v>45423</v>
      </c>
      <c r="G92" s="570">
        <v>45607</v>
      </c>
      <c r="H92" s="818">
        <f>+AQ13</f>
        <v>496.65800000000002</v>
      </c>
    </row>
    <row r="93" spans="2:10" x14ac:dyDescent="0.25">
      <c r="B93" s="462" t="s">
        <v>375</v>
      </c>
      <c r="C93" s="457" t="s">
        <v>130</v>
      </c>
      <c r="D93" s="457" t="s">
        <v>131</v>
      </c>
      <c r="E93" s="519">
        <v>644.69399999999996</v>
      </c>
      <c r="F93" s="458">
        <v>45423</v>
      </c>
      <c r="G93" s="570">
        <v>45607</v>
      </c>
      <c r="H93" s="818">
        <f>+AQ14</f>
        <v>483.48</v>
      </c>
    </row>
    <row r="94" spans="2:10" x14ac:dyDescent="0.25">
      <c r="B94" s="462" t="s">
        <v>593</v>
      </c>
      <c r="C94" s="457" t="s">
        <v>130</v>
      </c>
      <c r="D94" s="457" t="s">
        <v>131</v>
      </c>
      <c r="E94" s="519">
        <v>11209.657999999999</v>
      </c>
      <c r="F94" s="458">
        <v>45423</v>
      </c>
      <c r="G94" s="570">
        <v>45607</v>
      </c>
      <c r="H94" s="568">
        <f>+AQ15</f>
        <v>4670.6908333333331</v>
      </c>
    </row>
    <row r="95" spans="2:10" ht="15.75" thickBot="1" x14ac:dyDescent="0.3">
      <c r="B95" s="464" t="s">
        <v>593</v>
      </c>
      <c r="C95" s="465" t="s">
        <v>130</v>
      </c>
      <c r="D95" s="465" t="s">
        <v>131</v>
      </c>
      <c r="E95" s="585">
        <v>2789.98</v>
      </c>
      <c r="F95" s="467">
        <v>45439</v>
      </c>
      <c r="G95" s="584">
        <v>45607</v>
      </c>
      <c r="H95" s="690">
        <f>+AQ16</f>
        <v>1162.4916666666668</v>
      </c>
    </row>
    <row r="96" spans="2:10" ht="15.75" thickBot="1" x14ac:dyDescent="0.3">
      <c r="B96" s="560" t="s">
        <v>19</v>
      </c>
      <c r="C96" s="587"/>
      <c r="D96" s="587"/>
      <c r="E96" s="588"/>
      <c r="F96" s="587"/>
      <c r="G96" s="589"/>
      <c r="H96" s="590">
        <f>SUM(H82:H95)</f>
        <v>44916.814833333345</v>
      </c>
      <c r="I96" s="814">
        <f>+AQ17</f>
        <v>44916.814833333345</v>
      </c>
      <c r="J96" s="795">
        <f>+H96-I96</f>
        <v>0</v>
      </c>
    </row>
    <row r="97" spans="5:8" ht="15.75" thickBot="1" x14ac:dyDescent="0.3">
      <c r="E97" s="31" t="s">
        <v>619</v>
      </c>
      <c r="H97" s="689">
        <f>+J50</f>
        <v>44916.865180000001</v>
      </c>
    </row>
    <row r="98" spans="5:8" x14ac:dyDescent="0.25">
      <c r="H98" s="815">
        <f>+H96-H97</f>
        <v>-5.0346666655968875E-2</v>
      </c>
    </row>
  </sheetData>
  <protectedRanges>
    <protectedRange sqref="H42:N49" name="Rango1"/>
    <protectedRange sqref="AT17:AU17" name="Rango1_1"/>
    <protectedRange sqref="AQ20:AQ21" name="Rango1_2"/>
    <protectedRange sqref="B52 B53:F58" name="Rango1_5"/>
    <protectedRange sqref="B43:G47" name="Rango1_3"/>
    <protectedRange sqref="B48:G50" name="Rango1_4"/>
    <protectedRange sqref="BB4" name="Rango1_6"/>
    <protectedRange sqref="BA4" name="Rango1_7"/>
    <protectedRange sqref="H97" name="Rango1_3_1"/>
  </protectedRanges>
  <mergeCells count="24">
    <mergeCell ref="AV1:AV2"/>
    <mergeCell ref="BA2:BD2"/>
    <mergeCell ref="B41:G41"/>
    <mergeCell ref="B52:G52"/>
    <mergeCell ref="B65:H65"/>
    <mergeCell ref="B1:J1"/>
    <mergeCell ref="K1:O1"/>
    <mergeCell ref="V1:AQ1"/>
    <mergeCell ref="AS1:AS2"/>
    <mergeCell ref="AT1:AT2"/>
    <mergeCell ref="AU1:AU2"/>
    <mergeCell ref="H66:H67"/>
    <mergeCell ref="B79:H79"/>
    <mergeCell ref="B80:B81"/>
    <mergeCell ref="C80:C81"/>
    <mergeCell ref="D80:D81"/>
    <mergeCell ref="E80:E81"/>
    <mergeCell ref="F80:G80"/>
    <mergeCell ref="H80:H81"/>
    <mergeCell ref="B66:B67"/>
    <mergeCell ref="C66:C67"/>
    <mergeCell ref="D66:D67"/>
    <mergeCell ref="E66:E67"/>
    <mergeCell ref="F66:G66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D98"/>
  <sheetViews>
    <sheetView topLeftCell="A65" workbookViewId="0">
      <selection activeCell="E100" sqref="E100"/>
    </sheetView>
  </sheetViews>
  <sheetFormatPr baseColWidth="10" defaultColWidth="9.140625" defaultRowHeight="15" x14ac:dyDescent="0.25"/>
  <cols>
    <col min="1" max="1" width="1.5703125" customWidth="1"/>
    <col min="2" max="2" width="27.7109375" style="479" customWidth="1"/>
    <col min="3" max="3" width="25" style="31" customWidth="1"/>
    <col min="4" max="4" width="12.28515625" style="31" customWidth="1"/>
    <col min="5" max="5" width="10.42578125" customWidth="1"/>
    <col min="6" max="6" width="10.28515625" style="31" customWidth="1"/>
    <col min="7" max="7" width="10.140625" style="31" customWidth="1"/>
    <col min="8" max="8" width="8.85546875" style="31" customWidth="1"/>
    <col min="9" max="9" width="6.42578125" style="472" customWidth="1"/>
    <col min="10" max="10" width="14.42578125" style="31" customWidth="1"/>
    <col min="11" max="15" width="0.140625" style="31" customWidth="1"/>
    <col min="16" max="16" width="19.5703125" hidden="1" customWidth="1"/>
    <col min="17" max="17" width="20.5703125" hidden="1" customWidth="1"/>
    <col min="18" max="18" width="17" hidden="1" customWidth="1"/>
    <col min="19" max="20" width="13.85546875" hidden="1" customWidth="1"/>
    <col min="21" max="21" width="7.7109375" hidden="1" customWidth="1"/>
    <col min="22" max="22" width="0.140625" customWidth="1"/>
    <col min="23" max="24" width="0.140625" hidden="1" customWidth="1"/>
    <col min="25" max="25" width="0.28515625" hidden="1" customWidth="1"/>
    <col min="26" max="26" width="0.140625" hidden="1" customWidth="1"/>
    <col min="27" max="27" width="1" hidden="1" customWidth="1"/>
    <col min="28" max="28" width="0.85546875" customWidth="1"/>
    <col min="29" max="29" width="1.85546875" hidden="1" customWidth="1"/>
    <col min="30" max="30" width="0.85546875" hidden="1" customWidth="1"/>
    <col min="31" max="31" width="9.85546875" customWidth="1"/>
    <col min="32" max="32" width="13.85546875" bestFit="1" customWidth="1"/>
    <col min="33" max="33" width="9.42578125" bestFit="1" customWidth="1"/>
    <col min="34" max="35" width="8.42578125" bestFit="1" customWidth="1"/>
    <col min="36" max="40" width="8.7109375" customWidth="1"/>
    <col min="41" max="42" width="8.7109375" hidden="1" customWidth="1"/>
    <col min="43" max="43" width="11.5703125" customWidth="1"/>
    <col min="44" max="44" width="10.42578125" customWidth="1"/>
    <col min="45" max="45" width="7.42578125" customWidth="1"/>
    <col min="46" max="46" width="10.5703125" customWidth="1"/>
    <col min="47" max="47" width="9.7109375" customWidth="1"/>
    <col min="48" max="48" width="13.5703125" bestFit="1" customWidth="1"/>
    <col min="49" max="49" width="15.5703125" customWidth="1"/>
    <col min="50" max="50" width="11.42578125" bestFit="1" customWidth="1"/>
    <col min="53" max="53" width="42.7109375" customWidth="1"/>
    <col min="54" max="54" width="23.42578125" customWidth="1"/>
    <col min="55" max="55" width="22.5703125" customWidth="1"/>
    <col min="56" max="56" width="15.7109375" customWidth="1"/>
  </cols>
  <sheetData>
    <row r="1" spans="2:56" ht="15.75" thickBot="1" x14ac:dyDescent="0.3">
      <c r="B1" s="1004" t="s">
        <v>355</v>
      </c>
      <c r="C1" s="1005"/>
      <c r="D1" s="1005"/>
      <c r="E1" s="1005"/>
      <c r="F1" s="1005"/>
      <c r="G1" s="1005"/>
      <c r="H1" s="1005"/>
      <c r="I1" s="1005"/>
      <c r="J1" s="1006"/>
      <c r="K1" s="1007" t="s">
        <v>356</v>
      </c>
      <c r="L1" s="1008"/>
      <c r="M1" s="1008"/>
      <c r="N1" s="1008"/>
      <c r="O1" s="1009"/>
      <c r="P1" s="407"/>
      <c r="Q1" s="407"/>
      <c r="R1" s="407"/>
      <c r="S1" s="407"/>
      <c r="T1" s="407"/>
      <c r="U1" s="407"/>
      <c r="V1" s="1010" t="s">
        <v>357</v>
      </c>
      <c r="W1" s="1010"/>
      <c r="X1" s="1010"/>
      <c r="Y1" s="1010"/>
      <c r="Z1" s="1010"/>
      <c r="AA1" s="1010"/>
      <c r="AB1" s="1010"/>
      <c r="AC1" s="1010"/>
      <c r="AD1" s="1010"/>
      <c r="AE1" s="1010"/>
      <c r="AF1" s="1010"/>
      <c r="AG1" s="1010"/>
      <c r="AH1" s="1010"/>
      <c r="AI1" s="1010"/>
      <c r="AJ1" s="1021"/>
      <c r="AK1" s="1021"/>
      <c r="AL1" s="1021"/>
      <c r="AM1" s="1021"/>
      <c r="AN1" s="1021"/>
      <c r="AO1" s="1021"/>
      <c r="AP1" s="1021"/>
      <c r="AQ1" s="1021"/>
      <c r="AR1" s="721"/>
      <c r="AS1" s="1011" t="s">
        <v>627</v>
      </c>
      <c r="AT1" s="1011" t="s">
        <v>628</v>
      </c>
      <c r="AU1" s="1011" t="s">
        <v>347</v>
      </c>
      <c r="AV1" s="1013" t="s">
        <v>329</v>
      </c>
      <c r="AW1" t="s">
        <v>629</v>
      </c>
    </row>
    <row r="2" spans="2:56" ht="41.25" thickBot="1" x14ac:dyDescent="0.4">
      <c r="B2" s="436" t="s">
        <v>123</v>
      </c>
      <c r="C2" s="62" t="s">
        <v>124</v>
      </c>
      <c r="D2" s="62" t="s">
        <v>125</v>
      </c>
      <c r="E2" s="355" t="s">
        <v>133</v>
      </c>
      <c r="F2" s="355" t="s">
        <v>358</v>
      </c>
      <c r="G2" s="62" t="s">
        <v>359</v>
      </c>
      <c r="H2" s="355" t="s">
        <v>126</v>
      </c>
      <c r="I2" s="437" t="s">
        <v>360</v>
      </c>
      <c r="J2" s="437" t="s">
        <v>361</v>
      </c>
      <c r="K2" s="438">
        <v>45292</v>
      </c>
      <c r="L2" s="438">
        <v>45323</v>
      </c>
      <c r="M2" s="438">
        <v>45352</v>
      </c>
      <c r="N2" s="438">
        <v>45383</v>
      </c>
      <c r="O2" s="438">
        <v>45413</v>
      </c>
      <c r="Q2" t="s">
        <v>594</v>
      </c>
      <c r="R2" t="s">
        <v>595</v>
      </c>
      <c r="V2" s="591">
        <v>45017</v>
      </c>
      <c r="W2" s="439">
        <v>45047</v>
      </c>
      <c r="X2" s="439">
        <v>45078</v>
      </c>
      <c r="Y2" s="439">
        <v>45108</v>
      </c>
      <c r="Z2" s="439">
        <v>45139</v>
      </c>
      <c r="AA2" s="439">
        <v>45170</v>
      </c>
      <c r="AB2" s="439">
        <v>45200</v>
      </c>
      <c r="AC2" s="439">
        <v>45231</v>
      </c>
      <c r="AD2" s="439">
        <v>45261</v>
      </c>
      <c r="AE2" s="440">
        <v>45292</v>
      </c>
      <c r="AF2" s="440">
        <v>45323</v>
      </c>
      <c r="AG2" s="440">
        <v>45352</v>
      </c>
      <c r="AH2" s="440">
        <v>45383</v>
      </c>
      <c r="AI2" s="441">
        <v>45413</v>
      </c>
      <c r="AJ2" s="441">
        <v>45444</v>
      </c>
      <c r="AK2" s="441">
        <v>45474</v>
      </c>
      <c r="AL2" s="441">
        <v>45505</v>
      </c>
      <c r="AM2" s="441">
        <v>45536</v>
      </c>
      <c r="AN2" s="441">
        <v>45566</v>
      </c>
      <c r="AO2" s="441">
        <v>45597</v>
      </c>
      <c r="AP2" s="441">
        <v>45627</v>
      </c>
      <c r="AQ2" s="441" t="s">
        <v>362</v>
      </c>
      <c r="AR2" s="442" t="s">
        <v>19</v>
      </c>
      <c r="AS2" s="1022"/>
      <c r="AT2" s="1022"/>
      <c r="AU2" s="1022"/>
      <c r="AV2" s="1014"/>
      <c r="BA2" s="1003" t="s">
        <v>630</v>
      </c>
      <c r="BB2" s="1003"/>
      <c r="BC2" s="1003"/>
      <c r="BD2" s="1003"/>
    </row>
    <row r="3" spans="2:56" ht="30.75" thickBot="1" x14ac:dyDescent="0.3">
      <c r="B3" s="722" t="s">
        <v>127</v>
      </c>
      <c r="C3" s="723" t="s">
        <v>128</v>
      </c>
      <c r="D3" s="723" t="s">
        <v>129</v>
      </c>
      <c r="E3" s="443">
        <v>14168.793</v>
      </c>
      <c r="F3" s="444">
        <v>44927</v>
      </c>
      <c r="G3" s="832">
        <v>45291</v>
      </c>
      <c r="H3" s="444" t="s">
        <v>363</v>
      </c>
      <c r="I3" s="446">
        <v>12</v>
      </c>
      <c r="J3" s="443">
        <f>E3/I3</f>
        <v>1180.7327499999999</v>
      </c>
      <c r="K3" s="447">
        <v>1180.7327499999999</v>
      </c>
      <c r="L3" s="447">
        <v>2361.4699999999998</v>
      </c>
      <c r="M3" s="447">
        <v>3542.2</v>
      </c>
      <c r="N3" s="447">
        <v>3542.2</v>
      </c>
      <c r="O3" s="448">
        <f t="shared" ref="O3:O11" si="0">+R3</f>
        <v>3542.1982499999999</v>
      </c>
      <c r="P3" t="s">
        <v>333</v>
      </c>
      <c r="Q3" s="592">
        <v>3542198.25</v>
      </c>
      <c r="R3" s="593">
        <f>+Q3/1000</f>
        <v>3542.1982499999999</v>
      </c>
      <c r="U3" s="594"/>
      <c r="V3" s="725">
        <v>1180.73</v>
      </c>
      <c r="W3" s="725">
        <v>1180.73</v>
      </c>
      <c r="X3" s="725">
        <v>1180.73</v>
      </c>
      <c r="Y3" s="725">
        <v>1180.73</v>
      </c>
      <c r="Z3" s="725">
        <v>1180.73</v>
      </c>
      <c r="AA3" s="725">
        <v>1180.73</v>
      </c>
      <c r="AB3" s="725">
        <v>1180.73</v>
      </c>
      <c r="AC3" s="725">
        <v>1180.73</v>
      </c>
      <c r="AD3" s="725">
        <v>1180.73</v>
      </c>
      <c r="AE3" s="449">
        <v>1180.73</v>
      </c>
      <c r="AF3" s="449">
        <v>1180.74</v>
      </c>
      <c r="AG3" s="449">
        <v>1180.73</v>
      </c>
      <c r="AH3" s="450">
        <v>0</v>
      </c>
      <c r="AI3" s="450">
        <v>0</v>
      </c>
      <c r="AJ3" s="450"/>
      <c r="AK3" s="451"/>
      <c r="AL3" s="451"/>
      <c r="AM3" s="451"/>
      <c r="AN3" s="451"/>
      <c r="AO3" s="451"/>
      <c r="AP3" s="451"/>
      <c r="AQ3" s="726">
        <f>SUM(AE3:AP3)</f>
        <v>3542.2000000000003</v>
      </c>
      <c r="AR3" s="449">
        <f>V3+W3+X3+Y3+Z3+AA3+AB3+AC3+AD3+AE3+AF3+AG3+AH3+AI3</f>
        <v>14168.769999999997</v>
      </c>
      <c r="AS3" s="727">
        <f>+E3-AR3</f>
        <v>2.3000000002866727E-2</v>
      </c>
      <c r="AT3" s="680"/>
      <c r="AU3" s="680"/>
      <c r="AV3" s="597" t="s">
        <v>364</v>
      </c>
      <c r="AW3" s="680" t="s">
        <v>333</v>
      </c>
      <c r="BA3" s="728" t="s">
        <v>597</v>
      </c>
      <c r="BB3" s="598" t="s">
        <v>598</v>
      </c>
      <c r="BC3" s="685">
        <v>463396.35666666797</v>
      </c>
    </row>
    <row r="4" spans="2:56" x14ac:dyDescent="0.25">
      <c r="B4" s="729" t="s">
        <v>127</v>
      </c>
      <c r="C4" s="730" t="s">
        <v>128</v>
      </c>
      <c r="D4" s="730" t="s">
        <v>129</v>
      </c>
      <c r="E4" s="443">
        <v>16018.947</v>
      </c>
      <c r="F4" s="444">
        <v>45292</v>
      </c>
      <c r="G4" s="463">
        <v>45657</v>
      </c>
      <c r="H4" s="444">
        <v>45406</v>
      </c>
      <c r="I4" s="452">
        <v>12</v>
      </c>
      <c r="J4" s="443">
        <f t="shared" ref="J4:J14" si="1">E4/I4</f>
        <v>1334.9122500000001</v>
      </c>
      <c r="K4" s="447">
        <v>0</v>
      </c>
      <c r="L4" s="447">
        <v>0</v>
      </c>
      <c r="M4" s="447">
        <v>0</v>
      </c>
      <c r="N4" s="447">
        <v>1334.91</v>
      </c>
      <c r="O4" s="731">
        <f>+R4</f>
        <v>2669.8245000000002</v>
      </c>
      <c r="P4" t="s">
        <v>366</v>
      </c>
      <c r="Q4" s="592">
        <v>2669824.5</v>
      </c>
      <c r="R4" s="593">
        <f>+Q4/1000</f>
        <v>2669.8245000000002</v>
      </c>
      <c r="U4" s="594"/>
      <c r="V4" s="732">
        <v>0</v>
      </c>
      <c r="W4" s="732">
        <v>0</v>
      </c>
      <c r="X4" s="732">
        <v>0</v>
      </c>
      <c r="Y4" s="732">
        <v>0</v>
      </c>
      <c r="Z4" s="732">
        <v>0</v>
      </c>
      <c r="AA4" s="732">
        <v>0</v>
      </c>
      <c r="AB4" s="732">
        <v>0</v>
      </c>
      <c r="AC4" s="732">
        <v>0</v>
      </c>
      <c r="AD4" s="732">
        <v>0</v>
      </c>
      <c r="AE4" s="453">
        <v>0</v>
      </c>
      <c r="AF4" s="453">
        <v>0</v>
      </c>
      <c r="AG4" s="453">
        <v>0</v>
      </c>
      <c r="AH4" s="454">
        <v>1334.9122500000001</v>
      </c>
      <c r="AI4" s="454">
        <v>1334.91</v>
      </c>
      <c r="AJ4" s="454">
        <v>1334.91</v>
      </c>
      <c r="AK4" s="733">
        <v>1334.91</v>
      </c>
      <c r="AL4" s="455">
        <f>+AK4</f>
        <v>1334.91</v>
      </c>
      <c r="AM4" s="455">
        <f>+AK4</f>
        <v>1334.91</v>
      </c>
      <c r="AN4" s="455">
        <f>+AL4</f>
        <v>1334.91</v>
      </c>
      <c r="AO4" s="455"/>
      <c r="AP4" s="455"/>
      <c r="AQ4" s="734">
        <f t="shared" ref="AQ4:AQ16" si="2">SUM(AE4:AP4)</f>
        <v>9344.3722500000003</v>
      </c>
      <c r="AR4" s="735">
        <f>+AH4+AI4+AJ4+AK4+AL4+AM4+AN4</f>
        <v>9344.3722500000003</v>
      </c>
      <c r="AS4" s="736">
        <f>E4-AR4</f>
        <v>6674.5747499999998</v>
      </c>
      <c r="AT4" s="737"/>
      <c r="AU4" s="737"/>
      <c r="AV4" s="738" t="s">
        <v>365</v>
      </c>
      <c r="AW4" s="680" t="s">
        <v>366</v>
      </c>
      <c r="BA4" t="s">
        <v>599</v>
      </c>
      <c r="BB4" s="739" t="s">
        <v>600</v>
      </c>
      <c r="BD4" s="685">
        <f>+BC3</f>
        <v>463396.35666666797</v>
      </c>
    </row>
    <row r="5" spans="2:56" ht="26.25" x14ac:dyDescent="0.25">
      <c r="B5" s="456" t="s">
        <v>132</v>
      </c>
      <c r="C5" s="457" t="s">
        <v>130</v>
      </c>
      <c r="D5" s="457" t="s">
        <v>131</v>
      </c>
      <c r="E5" s="443">
        <v>425.35</v>
      </c>
      <c r="F5" s="458">
        <v>45093</v>
      </c>
      <c r="G5" s="458">
        <v>45241</v>
      </c>
      <c r="H5" s="458">
        <v>45167</v>
      </c>
      <c r="I5" s="452">
        <v>6</v>
      </c>
      <c r="J5" s="443">
        <f>E5/I5</f>
        <v>70.891666666666666</v>
      </c>
      <c r="K5" s="447">
        <v>70.89</v>
      </c>
      <c r="L5" s="447">
        <v>141.78</v>
      </c>
      <c r="M5" s="459">
        <v>141.78</v>
      </c>
      <c r="N5" s="459">
        <v>141.78</v>
      </c>
      <c r="O5" s="460">
        <v>141.78</v>
      </c>
      <c r="Q5" s="592"/>
      <c r="R5" s="593"/>
      <c r="U5" s="594"/>
      <c r="V5" s="732">
        <v>0</v>
      </c>
      <c r="W5" s="732">
        <v>0</v>
      </c>
      <c r="X5" s="732">
        <v>0</v>
      </c>
      <c r="Y5" s="732">
        <v>0</v>
      </c>
      <c r="Z5" s="732">
        <v>70.900000000000006</v>
      </c>
      <c r="AA5" s="732">
        <v>0</v>
      </c>
      <c r="AB5" s="732">
        <v>70.89</v>
      </c>
      <c r="AC5" s="732">
        <v>70.89</v>
      </c>
      <c r="AD5" s="732">
        <v>70.89</v>
      </c>
      <c r="AE5" s="453">
        <v>70.89</v>
      </c>
      <c r="AF5" s="453">
        <v>70.89</v>
      </c>
      <c r="AG5" s="596">
        <v>0</v>
      </c>
      <c r="AH5" s="454">
        <v>0</v>
      </c>
      <c r="AI5" s="454">
        <v>0</v>
      </c>
      <c r="AJ5" s="454"/>
      <c r="AK5" s="740"/>
      <c r="AL5" s="455"/>
      <c r="AM5" s="455"/>
      <c r="AN5" s="455"/>
      <c r="AO5" s="455"/>
      <c r="AP5" s="455"/>
      <c r="AQ5" s="726">
        <f t="shared" si="2"/>
        <v>141.78</v>
      </c>
      <c r="AR5" s="449">
        <f t="shared" ref="AR5:AR10" si="3">V5+W5+X5+Y5+Z5+AA5+AB5+AC5+AD5+AE5+AF5+AG5+AH5+AI5</f>
        <v>425.34999999999997</v>
      </c>
      <c r="AS5" s="727">
        <f t="shared" ref="AS5:AS9" si="4">E5-AR5</f>
        <v>0</v>
      </c>
      <c r="AT5" s="680"/>
      <c r="AU5" s="680"/>
      <c r="AV5" s="741" t="s">
        <v>631</v>
      </c>
      <c r="AW5" s="742" t="s">
        <v>340</v>
      </c>
    </row>
    <row r="6" spans="2:56" x14ac:dyDescent="0.25">
      <c r="B6" s="461" t="s">
        <v>279</v>
      </c>
      <c r="C6" s="457" t="s">
        <v>130</v>
      </c>
      <c r="D6" s="457" t="s">
        <v>131</v>
      </c>
      <c r="E6" s="443">
        <v>9303.7029999999995</v>
      </c>
      <c r="F6" s="458">
        <v>45241</v>
      </c>
      <c r="G6" s="463">
        <v>45607</v>
      </c>
      <c r="H6" s="458">
        <v>45237</v>
      </c>
      <c r="I6" s="452">
        <v>6</v>
      </c>
      <c r="J6" s="443">
        <f t="shared" si="1"/>
        <v>1550.6171666666667</v>
      </c>
      <c r="K6" s="447">
        <v>1550.62</v>
      </c>
      <c r="L6" s="447">
        <v>3101.23</v>
      </c>
      <c r="M6" s="447">
        <v>4651.8500000000004</v>
      </c>
      <c r="N6" s="447">
        <v>6202.47</v>
      </c>
      <c r="O6" s="448">
        <f t="shared" si="0"/>
        <v>6202.4686666666666</v>
      </c>
      <c r="P6" s="616" t="s">
        <v>334</v>
      </c>
      <c r="Q6" s="592">
        <v>6202468.666666667</v>
      </c>
      <c r="R6" s="617">
        <f t="shared" ref="R6:R10" si="5">+Q6/1000</f>
        <v>6202.4686666666666</v>
      </c>
      <c r="V6" s="725">
        <v>0</v>
      </c>
      <c r="W6" s="725">
        <v>0</v>
      </c>
      <c r="X6" s="725">
        <v>0</v>
      </c>
      <c r="Y6" s="725">
        <v>0</v>
      </c>
      <c r="Z6" s="725">
        <v>0</v>
      </c>
      <c r="AA6" s="725">
        <v>0</v>
      </c>
      <c r="AB6" s="725">
        <v>0</v>
      </c>
      <c r="AC6" s="725">
        <v>1550.6171666666667</v>
      </c>
      <c r="AD6" s="725">
        <v>1550.6171666666667</v>
      </c>
      <c r="AE6" s="449">
        <v>1550.6171666666667</v>
      </c>
      <c r="AF6" s="449">
        <v>1550.6171666666667</v>
      </c>
      <c r="AG6" s="449">
        <v>1550.6171666666667</v>
      </c>
      <c r="AH6" s="450">
        <v>1550.6171666666667</v>
      </c>
      <c r="AI6" s="450">
        <v>0</v>
      </c>
      <c r="AJ6" s="450"/>
      <c r="AK6" s="451"/>
      <c r="AL6" s="451"/>
      <c r="AM6" s="451"/>
      <c r="AN6" s="451"/>
      <c r="AO6" s="451"/>
      <c r="AP6" s="451"/>
      <c r="AQ6" s="726">
        <f t="shared" si="2"/>
        <v>6202.4686666666666</v>
      </c>
      <c r="AR6" s="449">
        <f t="shared" si="3"/>
        <v>9303.7029999999995</v>
      </c>
      <c r="AS6" s="727">
        <f t="shared" si="4"/>
        <v>0</v>
      </c>
      <c r="AT6" s="680"/>
      <c r="AU6" s="680"/>
      <c r="AV6" s="597" t="s">
        <v>367</v>
      </c>
      <c r="AW6" s="743" t="s">
        <v>334</v>
      </c>
      <c r="BA6" t="s">
        <v>632</v>
      </c>
    </row>
    <row r="7" spans="2:56" x14ac:dyDescent="0.25">
      <c r="B7" s="462" t="s">
        <v>280</v>
      </c>
      <c r="C7" s="457" t="s">
        <v>130</v>
      </c>
      <c r="D7" s="457" t="s">
        <v>131</v>
      </c>
      <c r="E7" s="443">
        <v>703.30200000000002</v>
      </c>
      <c r="F7" s="458">
        <v>45241</v>
      </c>
      <c r="G7" s="463">
        <v>45423</v>
      </c>
      <c r="H7" s="458">
        <v>45237</v>
      </c>
      <c r="I7" s="452">
        <v>6</v>
      </c>
      <c r="J7" s="443">
        <f>E7/I7</f>
        <v>117.217</v>
      </c>
      <c r="K7" s="447">
        <v>117.22</v>
      </c>
      <c r="L7" s="447">
        <v>234.43</v>
      </c>
      <c r="M7" s="447">
        <v>351.65</v>
      </c>
      <c r="N7" s="447">
        <v>468.87</v>
      </c>
      <c r="O7" s="448">
        <f t="shared" si="0"/>
        <v>468.86799999999999</v>
      </c>
      <c r="P7" s="616" t="s">
        <v>335</v>
      </c>
      <c r="Q7" s="618">
        <v>468868</v>
      </c>
      <c r="R7" s="617">
        <f t="shared" si="5"/>
        <v>468.86799999999999</v>
      </c>
      <c r="V7" s="725">
        <v>0</v>
      </c>
      <c r="W7" s="725">
        <v>0</v>
      </c>
      <c r="X7" s="725">
        <v>0</v>
      </c>
      <c r="Y7" s="725">
        <v>0</v>
      </c>
      <c r="Z7" s="725">
        <v>0</v>
      </c>
      <c r="AA7" s="725">
        <v>0</v>
      </c>
      <c r="AB7" s="725">
        <v>0</v>
      </c>
      <c r="AC7" s="725">
        <v>117.217</v>
      </c>
      <c r="AD7" s="725">
        <v>117.217</v>
      </c>
      <c r="AE7" s="449">
        <v>117.217</v>
      </c>
      <c r="AF7" s="449">
        <v>117.217</v>
      </c>
      <c r="AG7" s="449">
        <v>117.217</v>
      </c>
      <c r="AH7" s="450">
        <v>117.217</v>
      </c>
      <c r="AI7" s="450">
        <v>0</v>
      </c>
      <c r="AJ7" s="450"/>
      <c r="AK7" s="451"/>
      <c r="AL7" s="451"/>
      <c r="AM7" s="451"/>
      <c r="AN7" s="451"/>
      <c r="AO7" s="451"/>
      <c r="AP7" s="451"/>
      <c r="AQ7" s="744">
        <f t="shared" si="2"/>
        <v>468.86799999999999</v>
      </c>
      <c r="AR7" s="619">
        <f t="shared" si="3"/>
        <v>703.30200000000002</v>
      </c>
      <c r="AS7" s="727">
        <f t="shared" si="4"/>
        <v>0</v>
      </c>
      <c r="AT7" s="680"/>
      <c r="AU7" s="680"/>
      <c r="AV7" s="597" t="s">
        <v>367</v>
      </c>
      <c r="AW7" s="743" t="s">
        <v>335</v>
      </c>
    </row>
    <row r="8" spans="2:56" x14ac:dyDescent="0.25">
      <c r="B8" s="464" t="s">
        <v>282</v>
      </c>
      <c r="C8" s="465" t="s">
        <v>130</v>
      </c>
      <c r="D8" s="457" t="s">
        <v>131</v>
      </c>
      <c r="E8" s="443">
        <v>3329.9340000000002</v>
      </c>
      <c r="F8" s="458">
        <v>45241</v>
      </c>
      <c r="G8" s="466">
        <v>45423</v>
      </c>
      <c r="H8" s="467">
        <v>45286</v>
      </c>
      <c r="I8" s="452">
        <v>6</v>
      </c>
      <c r="J8" s="443">
        <f t="shared" si="1"/>
        <v>554.98900000000003</v>
      </c>
      <c r="K8" s="468">
        <v>0</v>
      </c>
      <c r="L8" s="459">
        <v>1109.98</v>
      </c>
      <c r="M8" s="459">
        <v>1664.97</v>
      </c>
      <c r="N8" s="459">
        <v>2219.96</v>
      </c>
      <c r="O8" s="469">
        <f t="shared" si="0"/>
        <v>2774.9450000000002</v>
      </c>
      <c r="P8" s="620" t="s">
        <v>336</v>
      </c>
      <c r="Q8" s="592">
        <v>2774945</v>
      </c>
      <c r="R8" s="617">
        <f t="shared" si="5"/>
        <v>2774.9450000000002</v>
      </c>
      <c r="V8" s="725">
        <v>0</v>
      </c>
      <c r="W8" s="725">
        <v>0</v>
      </c>
      <c r="X8" s="725">
        <v>0</v>
      </c>
      <c r="Y8" s="725">
        <v>0</v>
      </c>
      <c r="Z8" s="725">
        <v>0</v>
      </c>
      <c r="AA8" s="725">
        <v>0</v>
      </c>
      <c r="AB8" s="725"/>
      <c r="AC8" s="725">
        <v>0</v>
      </c>
      <c r="AD8" s="725">
        <v>554.98900000000003</v>
      </c>
      <c r="AE8" s="449">
        <v>554.98900000000003</v>
      </c>
      <c r="AF8" s="449">
        <v>554.98900000000003</v>
      </c>
      <c r="AG8" s="449">
        <v>554.98900000000003</v>
      </c>
      <c r="AH8" s="450">
        <v>554.98900000000003</v>
      </c>
      <c r="AI8" s="450">
        <v>554.98900000000003</v>
      </c>
      <c r="AJ8" s="450">
        <v>554.98900000000003</v>
      </c>
      <c r="AK8" s="451"/>
      <c r="AL8" s="451"/>
      <c r="AM8" s="451"/>
      <c r="AN8" s="451"/>
      <c r="AO8" s="451"/>
      <c r="AP8" s="451"/>
      <c r="AQ8" s="744">
        <f t="shared" si="2"/>
        <v>3329.9340000000002</v>
      </c>
      <c r="AR8" s="619">
        <f t="shared" si="3"/>
        <v>3329.9340000000002</v>
      </c>
      <c r="AS8" s="727">
        <f t="shared" si="4"/>
        <v>0</v>
      </c>
      <c r="AT8" s="680"/>
      <c r="AU8" s="680"/>
      <c r="AV8" s="597" t="s">
        <v>368</v>
      </c>
      <c r="AW8" s="742" t="s">
        <v>336</v>
      </c>
    </row>
    <row r="9" spans="2:56" x14ac:dyDescent="0.25">
      <c r="B9" s="462" t="s">
        <v>281</v>
      </c>
      <c r="C9" s="457" t="s">
        <v>130</v>
      </c>
      <c r="D9" s="457" t="s">
        <v>131</v>
      </c>
      <c r="E9" s="443">
        <v>722.42100000000005</v>
      </c>
      <c r="F9" s="458">
        <v>45241</v>
      </c>
      <c r="G9" s="458">
        <v>45417</v>
      </c>
      <c r="H9" s="458">
        <v>45237</v>
      </c>
      <c r="I9" s="452">
        <v>6</v>
      </c>
      <c r="J9" s="443">
        <f t="shared" si="1"/>
        <v>120.40350000000001</v>
      </c>
      <c r="K9" s="468">
        <v>120.4</v>
      </c>
      <c r="L9" s="447">
        <v>240.81</v>
      </c>
      <c r="M9" s="447">
        <v>361.21</v>
      </c>
      <c r="N9" s="447">
        <v>481.61</v>
      </c>
      <c r="O9" s="470">
        <f t="shared" si="0"/>
        <v>481.61399999999998</v>
      </c>
      <c r="P9" s="616" t="s">
        <v>337</v>
      </c>
      <c r="Q9" s="592">
        <v>481614</v>
      </c>
      <c r="R9" s="617">
        <f t="shared" si="5"/>
        <v>481.61399999999998</v>
      </c>
      <c r="V9" s="725">
        <v>0</v>
      </c>
      <c r="W9" s="725">
        <v>0</v>
      </c>
      <c r="X9" s="725">
        <v>0</v>
      </c>
      <c r="Y9" s="725">
        <v>0</v>
      </c>
      <c r="Z9" s="725">
        <v>0</v>
      </c>
      <c r="AA9" s="725">
        <v>0</v>
      </c>
      <c r="AB9" s="725">
        <v>0</v>
      </c>
      <c r="AC9" s="725">
        <v>120.40350000000001</v>
      </c>
      <c r="AD9" s="725">
        <v>120.40350000000001</v>
      </c>
      <c r="AE9" s="449">
        <v>120.40350000000001</v>
      </c>
      <c r="AF9" s="449">
        <v>120.40350000000001</v>
      </c>
      <c r="AG9" s="449">
        <v>120.40350000000001</v>
      </c>
      <c r="AH9" s="450">
        <v>120.40350000000001</v>
      </c>
      <c r="AI9" s="450">
        <v>0</v>
      </c>
      <c r="AJ9" s="450"/>
      <c r="AK9" s="451"/>
      <c r="AL9" s="451"/>
      <c r="AM9" s="451"/>
      <c r="AN9" s="451"/>
      <c r="AO9" s="451"/>
      <c r="AP9" s="451"/>
      <c r="AQ9" s="744">
        <f t="shared" si="2"/>
        <v>481.61400000000003</v>
      </c>
      <c r="AR9" s="619">
        <f t="shared" si="3"/>
        <v>722.42100000000005</v>
      </c>
      <c r="AS9" s="727">
        <f t="shared" si="4"/>
        <v>0</v>
      </c>
      <c r="AT9" s="680"/>
      <c r="AU9" s="680"/>
      <c r="AV9" s="597" t="s">
        <v>367</v>
      </c>
      <c r="AW9" s="743" t="s">
        <v>337</v>
      </c>
    </row>
    <row r="10" spans="2:56" x14ac:dyDescent="0.25">
      <c r="B10" s="462" t="s">
        <v>282</v>
      </c>
      <c r="C10" s="457" t="s">
        <v>130</v>
      </c>
      <c r="D10" s="457" t="s">
        <v>131</v>
      </c>
      <c r="E10" s="443">
        <v>8885.8369999999995</v>
      </c>
      <c r="F10" s="458">
        <v>45241</v>
      </c>
      <c r="G10" s="458">
        <v>45423</v>
      </c>
      <c r="H10" s="458">
        <v>45275</v>
      </c>
      <c r="I10" s="452">
        <v>6</v>
      </c>
      <c r="J10" s="443">
        <f t="shared" si="1"/>
        <v>1480.9728333333333</v>
      </c>
      <c r="K10" s="447">
        <v>1480.97</v>
      </c>
      <c r="L10" s="447">
        <v>2961.95</v>
      </c>
      <c r="M10" s="447">
        <v>4442.92</v>
      </c>
      <c r="N10" s="447">
        <v>5923.89</v>
      </c>
      <c r="O10" s="470">
        <f t="shared" si="0"/>
        <v>7404.8641666666663</v>
      </c>
      <c r="P10" s="616" t="s">
        <v>338</v>
      </c>
      <c r="Q10" s="592">
        <v>7404864.166666666</v>
      </c>
      <c r="R10" s="617">
        <f t="shared" si="5"/>
        <v>7404.8641666666663</v>
      </c>
      <c r="V10" s="745">
        <v>0</v>
      </c>
      <c r="W10" s="745">
        <v>0</v>
      </c>
      <c r="X10" s="745">
        <v>0</v>
      </c>
      <c r="Y10" s="745">
        <v>0</v>
      </c>
      <c r="Z10" s="725">
        <v>0</v>
      </c>
      <c r="AA10" s="725">
        <v>0</v>
      </c>
      <c r="AB10" s="725">
        <v>0</v>
      </c>
      <c r="AC10" s="725">
        <v>0</v>
      </c>
      <c r="AD10" s="725">
        <v>1480.9728333333333</v>
      </c>
      <c r="AE10" s="449">
        <v>1480.9728333333333</v>
      </c>
      <c r="AF10" s="449">
        <v>1480.9728333333333</v>
      </c>
      <c r="AG10" s="449">
        <v>1480.9728333333333</v>
      </c>
      <c r="AH10" s="450">
        <v>1480.9728333333333</v>
      </c>
      <c r="AI10" s="450">
        <v>1480.9728333333333</v>
      </c>
      <c r="AJ10" s="450">
        <v>740.48641666666663</v>
      </c>
      <c r="AK10" s="451"/>
      <c r="AL10" s="451"/>
      <c r="AM10" s="451"/>
      <c r="AN10" s="451"/>
      <c r="AO10" s="451"/>
      <c r="AP10" s="451"/>
      <c r="AQ10" s="744">
        <f t="shared" si="2"/>
        <v>8145.3505833333329</v>
      </c>
      <c r="AR10" s="449">
        <f t="shared" si="3"/>
        <v>8885.8369999999995</v>
      </c>
      <c r="AS10" s="727">
        <v>0</v>
      </c>
      <c r="AT10" s="680"/>
      <c r="AU10" s="680"/>
      <c r="AV10" s="597" t="s">
        <v>369</v>
      </c>
      <c r="AW10" s="743" t="s">
        <v>338</v>
      </c>
    </row>
    <row r="11" spans="2:56" x14ac:dyDescent="0.25">
      <c r="B11" s="462" t="s">
        <v>283</v>
      </c>
      <c r="C11" s="457" t="s">
        <v>130</v>
      </c>
      <c r="D11" s="457" t="s">
        <v>131</v>
      </c>
      <c r="E11" s="443">
        <v>4850.9979999999996</v>
      </c>
      <c r="F11" s="458">
        <v>45241</v>
      </c>
      <c r="G11" s="458">
        <v>45423</v>
      </c>
      <c r="H11" s="458">
        <v>45275</v>
      </c>
      <c r="I11" s="452">
        <v>6</v>
      </c>
      <c r="J11" s="443">
        <f t="shared" si="1"/>
        <v>808.4996666666666</v>
      </c>
      <c r="K11" s="447">
        <v>808.5</v>
      </c>
      <c r="L11" s="447">
        <v>1617</v>
      </c>
      <c r="M11" s="447">
        <v>2425.5</v>
      </c>
      <c r="N11" s="447">
        <v>3234</v>
      </c>
      <c r="O11" s="470">
        <f t="shared" si="0"/>
        <v>4042.498333333333</v>
      </c>
      <c r="P11" s="616" t="s">
        <v>339</v>
      </c>
      <c r="Q11" s="592">
        <v>4042498.333333333</v>
      </c>
      <c r="R11" s="617">
        <f>+Q11/1000</f>
        <v>4042.498333333333</v>
      </c>
      <c r="V11" s="745">
        <v>0</v>
      </c>
      <c r="W11" s="745">
        <v>0</v>
      </c>
      <c r="X11" s="745">
        <v>0</v>
      </c>
      <c r="Y11" s="745">
        <v>0</v>
      </c>
      <c r="Z11" s="725">
        <v>0</v>
      </c>
      <c r="AA11" s="725">
        <v>0</v>
      </c>
      <c r="AB11" s="725">
        <v>0</v>
      </c>
      <c r="AC11" s="725">
        <v>0</v>
      </c>
      <c r="AD11" s="725">
        <v>404.25</v>
      </c>
      <c r="AE11" s="449">
        <v>808.5</v>
      </c>
      <c r="AF11" s="449">
        <v>808.5</v>
      </c>
      <c r="AG11" s="449">
        <v>808.5</v>
      </c>
      <c r="AH11" s="450">
        <v>808.5</v>
      </c>
      <c r="AI11" s="450">
        <v>808.5</v>
      </c>
      <c r="AJ11" s="450">
        <v>404.2498333333333</v>
      </c>
      <c r="AK11" s="451"/>
      <c r="AL11" s="451"/>
      <c r="AM11" s="451"/>
      <c r="AN11" s="451"/>
      <c r="AO11" s="451"/>
      <c r="AP11" s="451"/>
      <c r="AQ11" s="744">
        <f t="shared" si="2"/>
        <v>4446.7498333333333</v>
      </c>
      <c r="AR11" s="449">
        <f>V11+W11+X11+Y11+Z11+AA11+AB11+AC11+AD11+AE11+AF11+AG11+AH11+AI11+AJ11</f>
        <v>4850.9998333333333</v>
      </c>
      <c r="AS11" s="727">
        <f>E11-AR11</f>
        <v>-1.8333333337068325E-3</v>
      </c>
      <c r="AT11" s="680"/>
      <c r="AU11" s="680"/>
      <c r="AV11" s="597" t="s">
        <v>369</v>
      </c>
      <c r="AW11" s="680" t="s">
        <v>339</v>
      </c>
    </row>
    <row r="12" spans="2:56" x14ac:dyDescent="0.25">
      <c r="B12" s="462" t="s">
        <v>370</v>
      </c>
      <c r="C12" s="457" t="s">
        <v>130</v>
      </c>
      <c r="D12" s="457" t="s">
        <v>131</v>
      </c>
      <c r="E12" s="443">
        <v>4446.7470000000003</v>
      </c>
      <c r="F12" s="458">
        <v>45423</v>
      </c>
      <c r="G12" s="458">
        <v>45607</v>
      </c>
      <c r="H12" s="458">
        <v>45427</v>
      </c>
      <c r="I12" s="452">
        <v>6</v>
      </c>
      <c r="J12" s="443">
        <f t="shared" si="1"/>
        <v>741.12450000000001</v>
      </c>
      <c r="K12" s="447">
        <v>0</v>
      </c>
      <c r="L12" s="447">
        <v>0</v>
      </c>
      <c r="M12" s="447">
        <v>0</v>
      </c>
      <c r="N12" s="447">
        <v>0</v>
      </c>
      <c r="O12" s="746">
        <f>+R12</f>
        <v>370.56225000000001</v>
      </c>
      <c r="P12" s="747" t="s">
        <v>372</v>
      </c>
      <c r="Q12" s="685">
        <v>370562.25</v>
      </c>
      <c r="R12" s="593">
        <f>+Q12/1000</f>
        <v>370.56225000000001</v>
      </c>
      <c r="T12" s="129"/>
      <c r="U12" s="594"/>
      <c r="V12" s="745">
        <v>0</v>
      </c>
      <c r="W12" s="745">
        <v>0</v>
      </c>
      <c r="X12" s="745">
        <v>0</v>
      </c>
      <c r="Y12" s="745">
        <v>0</v>
      </c>
      <c r="Z12" s="725">
        <v>0</v>
      </c>
      <c r="AA12" s="745">
        <v>0</v>
      </c>
      <c r="AB12" s="745">
        <v>0</v>
      </c>
      <c r="AC12" s="745">
        <v>0</v>
      </c>
      <c r="AD12" s="745">
        <v>0</v>
      </c>
      <c r="AE12" s="449">
        <v>0</v>
      </c>
      <c r="AF12" s="449">
        <v>0</v>
      </c>
      <c r="AG12" s="449">
        <v>0</v>
      </c>
      <c r="AH12" s="450">
        <v>0</v>
      </c>
      <c r="AI12" s="450">
        <v>370.56</v>
      </c>
      <c r="AJ12" s="450">
        <v>741.12675000000013</v>
      </c>
      <c r="AK12" s="450">
        <v>741.12675000000013</v>
      </c>
      <c r="AL12" s="450">
        <v>741.12675000000013</v>
      </c>
      <c r="AM12" s="451">
        <f>+AL12</f>
        <v>741.12675000000013</v>
      </c>
      <c r="AN12" s="451">
        <f>+AM12</f>
        <v>741.12675000000013</v>
      </c>
      <c r="AO12" s="451"/>
      <c r="AP12" s="451"/>
      <c r="AQ12" s="734">
        <f t="shared" si="2"/>
        <v>4076.1937500000013</v>
      </c>
      <c r="AR12" s="735">
        <f>SUM(AE12:AP12)</f>
        <v>4076.1937500000013</v>
      </c>
      <c r="AS12" s="736">
        <f>E12-AR12</f>
        <v>370.55324999999903</v>
      </c>
      <c r="AT12" s="737"/>
      <c r="AU12" s="737"/>
      <c r="AV12" s="738" t="s">
        <v>371</v>
      </c>
      <c r="AW12" s="747" t="s">
        <v>372</v>
      </c>
    </row>
    <row r="13" spans="2:56" x14ac:dyDescent="0.25">
      <c r="B13" s="462" t="s">
        <v>373</v>
      </c>
      <c r="C13" s="457" t="s">
        <v>130</v>
      </c>
      <c r="D13" s="457" t="s">
        <v>131</v>
      </c>
      <c r="E13" s="443">
        <v>662.21699999999998</v>
      </c>
      <c r="F13" s="458">
        <v>45423</v>
      </c>
      <c r="G13" s="458">
        <v>45607</v>
      </c>
      <c r="H13" s="458">
        <v>45427</v>
      </c>
      <c r="I13" s="452">
        <v>6</v>
      </c>
      <c r="J13" s="443">
        <f t="shared" si="1"/>
        <v>110.3695</v>
      </c>
      <c r="K13" s="447">
        <v>0</v>
      </c>
      <c r="L13" s="447">
        <v>0</v>
      </c>
      <c r="M13" s="447">
        <v>0</v>
      </c>
      <c r="N13" s="447">
        <v>0</v>
      </c>
      <c r="O13" s="746">
        <f>+R13</f>
        <v>55.184750000000001</v>
      </c>
      <c r="P13" s="742" t="s">
        <v>374</v>
      </c>
      <c r="Q13" s="685">
        <v>55184.75</v>
      </c>
      <c r="R13" s="593">
        <f>+Q13/1000</f>
        <v>55.184750000000001</v>
      </c>
      <c r="T13" s="129"/>
      <c r="U13" s="594"/>
      <c r="V13" s="745">
        <v>0</v>
      </c>
      <c r="W13" s="745">
        <v>0</v>
      </c>
      <c r="X13" s="745">
        <v>0</v>
      </c>
      <c r="Y13" s="745">
        <v>0</v>
      </c>
      <c r="Z13" s="725">
        <v>0</v>
      </c>
      <c r="AA13" s="745">
        <v>0</v>
      </c>
      <c r="AB13" s="745">
        <v>0</v>
      </c>
      <c r="AC13" s="745">
        <v>0</v>
      </c>
      <c r="AD13" s="745">
        <v>0</v>
      </c>
      <c r="AE13" s="449">
        <v>0</v>
      </c>
      <c r="AF13" s="449">
        <v>0</v>
      </c>
      <c r="AG13" s="449">
        <v>0</v>
      </c>
      <c r="AH13" s="450">
        <v>0</v>
      </c>
      <c r="AI13" s="450">
        <v>55.18</v>
      </c>
      <c r="AJ13" s="450">
        <v>110.3695</v>
      </c>
      <c r="AK13" s="450">
        <v>110.3695</v>
      </c>
      <c r="AL13" s="450">
        <v>110.3695</v>
      </c>
      <c r="AM13" s="451">
        <f>+AL13</f>
        <v>110.3695</v>
      </c>
      <c r="AN13" s="451">
        <v>110.3695</v>
      </c>
      <c r="AO13" s="451"/>
      <c r="AP13" s="451"/>
      <c r="AQ13" s="734">
        <f t="shared" si="2"/>
        <v>607.02750000000003</v>
      </c>
      <c r="AR13" s="735">
        <f>SUM(AE13:AP13)</f>
        <v>607.02750000000003</v>
      </c>
      <c r="AS13" s="736">
        <f>E13-AR13</f>
        <v>55.189499999999953</v>
      </c>
      <c r="AT13" s="737"/>
      <c r="AU13" s="737"/>
      <c r="AV13" s="738" t="s">
        <v>371</v>
      </c>
      <c r="AW13" s="742" t="s">
        <v>374</v>
      </c>
    </row>
    <row r="14" spans="2:56" x14ac:dyDescent="0.25">
      <c r="B14" s="462" t="s">
        <v>375</v>
      </c>
      <c r="C14" s="457" t="s">
        <v>130</v>
      </c>
      <c r="D14" s="457" t="s">
        <v>131</v>
      </c>
      <c r="E14" s="443">
        <v>644.69399999999996</v>
      </c>
      <c r="F14" s="458">
        <v>45423</v>
      </c>
      <c r="G14" s="458">
        <v>45607</v>
      </c>
      <c r="H14" s="458">
        <v>45427</v>
      </c>
      <c r="I14" s="452">
        <v>6</v>
      </c>
      <c r="J14" s="443">
        <f t="shared" si="1"/>
        <v>107.449</v>
      </c>
      <c r="K14" s="459">
        <v>0</v>
      </c>
      <c r="L14" s="459">
        <v>0</v>
      </c>
      <c r="M14" s="459">
        <v>0</v>
      </c>
      <c r="N14" s="459">
        <v>0</v>
      </c>
      <c r="O14" s="460">
        <f>+R14</f>
        <v>53.724499999999999</v>
      </c>
      <c r="P14" s="748" t="s">
        <v>376</v>
      </c>
      <c r="Q14" s="749">
        <v>53724.5</v>
      </c>
      <c r="R14" s="750">
        <f>+Q14/1000</f>
        <v>53.724499999999999</v>
      </c>
      <c r="T14" s="129"/>
      <c r="U14" s="594"/>
      <c r="V14" s="745">
        <v>0</v>
      </c>
      <c r="W14" s="745">
        <v>0</v>
      </c>
      <c r="X14" s="745">
        <v>0</v>
      </c>
      <c r="Y14" s="745">
        <v>0</v>
      </c>
      <c r="Z14" s="725">
        <v>0</v>
      </c>
      <c r="AA14" s="745">
        <v>0</v>
      </c>
      <c r="AB14" s="745">
        <v>0</v>
      </c>
      <c r="AC14" s="745">
        <v>0</v>
      </c>
      <c r="AD14" s="745">
        <v>0</v>
      </c>
      <c r="AE14" s="449">
        <v>0</v>
      </c>
      <c r="AF14" s="449">
        <v>0</v>
      </c>
      <c r="AG14" s="449">
        <v>0</v>
      </c>
      <c r="AH14" s="450">
        <v>0</v>
      </c>
      <c r="AI14" s="450">
        <v>53.72</v>
      </c>
      <c r="AJ14" s="751">
        <v>107.44</v>
      </c>
      <c r="AK14" s="450">
        <v>107.44</v>
      </c>
      <c r="AL14" s="450">
        <v>107.44</v>
      </c>
      <c r="AM14" s="752">
        <f>+AL14</f>
        <v>107.44</v>
      </c>
      <c r="AN14" s="752">
        <f>+AM14</f>
        <v>107.44</v>
      </c>
      <c r="AO14" s="752"/>
      <c r="AP14" s="752"/>
      <c r="AQ14" s="734">
        <f t="shared" si="2"/>
        <v>590.92000000000007</v>
      </c>
      <c r="AR14" s="735">
        <f>SUM(AE14:AP14)</f>
        <v>590.92000000000007</v>
      </c>
      <c r="AS14" s="736">
        <f>E14-AR14</f>
        <v>53.773999999999887</v>
      </c>
      <c r="AT14" s="737"/>
      <c r="AU14" s="737"/>
      <c r="AV14" s="738" t="s">
        <v>371</v>
      </c>
      <c r="AW14" s="742" t="s">
        <v>376</v>
      </c>
    </row>
    <row r="15" spans="2:56" x14ac:dyDescent="0.25">
      <c r="B15" s="471" t="s">
        <v>593</v>
      </c>
      <c r="C15" s="465" t="s">
        <v>130</v>
      </c>
      <c r="D15" s="465" t="s">
        <v>131</v>
      </c>
      <c r="E15" s="585">
        <v>11209.657999999999</v>
      </c>
      <c r="F15" s="467">
        <v>45423</v>
      </c>
      <c r="G15" s="467">
        <v>45607</v>
      </c>
      <c r="H15" s="753" t="s">
        <v>602</v>
      </c>
      <c r="I15" s="754">
        <v>6</v>
      </c>
      <c r="J15" s="585">
        <f>+E15/I15</f>
        <v>1868.2763333333332</v>
      </c>
      <c r="K15" s="459"/>
      <c r="L15" s="459"/>
      <c r="M15" s="459"/>
      <c r="N15" s="459"/>
      <c r="O15" s="755"/>
      <c r="P15" s="756"/>
      <c r="Q15" s="757"/>
      <c r="R15" s="758"/>
      <c r="T15" s="129"/>
      <c r="U15" s="594"/>
      <c r="V15" s="745"/>
      <c r="W15" s="745"/>
      <c r="X15" s="745"/>
      <c r="Y15" s="745"/>
      <c r="Z15" s="725"/>
      <c r="AA15" s="745"/>
      <c r="AB15" s="745"/>
      <c r="AC15" s="745"/>
      <c r="AD15" s="745"/>
      <c r="AE15" s="449"/>
      <c r="AF15" s="449"/>
      <c r="AG15" s="449"/>
      <c r="AH15" s="450"/>
      <c r="AI15" s="450"/>
      <c r="AJ15" s="450"/>
      <c r="AK15" s="450">
        <v>934.13816666666662</v>
      </c>
      <c r="AL15" s="450">
        <v>1868.2763333333332</v>
      </c>
      <c r="AM15" s="752">
        <f>+AL15</f>
        <v>1868.2763333333332</v>
      </c>
      <c r="AN15" s="752">
        <f>+AM15</f>
        <v>1868.2763333333332</v>
      </c>
      <c r="AO15" s="752"/>
      <c r="AP15" s="752"/>
      <c r="AQ15" s="734">
        <f t="shared" si="2"/>
        <v>6538.9671666666663</v>
      </c>
      <c r="AR15" s="735">
        <f>SUM(AE15:AP15)</f>
        <v>6538.9671666666663</v>
      </c>
      <c r="AS15" s="734">
        <f t="shared" ref="AS15:AS16" si="6">E15-AR15</f>
        <v>4670.6908333333331</v>
      </c>
      <c r="AT15" s="737"/>
      <c r="AU15" s="737"/>
      <c r="AV15" s="759" t="s">
        <v>603</v>
      </c>
      <c r="AW15" s="742" t="s">
        <v>604</v>
      </c>
    </row>
    <row r="16" spans="2:56" ht="15.75" thickBot="1" x14ac:dyDescent="0.3">
      <c r="B16" s="760" t="s">
        <v>593</v>
      </c>
      <c r="C16" s="457" t="s">
        <v>130</v>
      </c>
      <c r="D16" s="457" t="s">
        <v>131</v>
      </c>
      <c r="E16" s="519">
        <v>2789.98</v>
      </c>
      <c r="F16" s="458">
        <v>45439</v>
      </c>
      <c r="G16" s="458">
        <v>45607</v>
      </c>
      <c r="H16" s="761" t="s">
        <v>602</v>
      </c>
      <c r="I16" s="762">
        <v>6</v>
      </c>
      <c r="J16" s="519">
        <f>+E16/I16</f>
        <v>464.99666666666667</v>
      </c>
      <c r="K16" s="459"/>
      <c r="L16" s="459"/>
      <c r="M16" s="459"/>
      <c r="N16" s="459"/>
      <c r="O16" s="755"/>
      <c r="P16" s="756"/>
      <c r="Q16" s="757"/>
      <c r="R16" s="758"/>
      <c r="T16" s="129"/>
      <c r="U16" s="594"/>
      <c r="V16" s="745"/>
      <c r="W16" s="745"/>
      <c r="X16" s="745"/>
      <c r="Y16" s="745"/>
      <c r="Z16" s="725"/>
      <c r="AA16" s="745"/>
      <c r="AB16" s="745"/>
      <c r="AC16" s="745"/>
      <c r="AD16" s="745"/>
      <c r="AE16" s="449"/>
      <c r="AF16" s="449"/>
      <c r="AG16" s="449"/>
      <c r="AH16" s="450"/>
      <c r="AI16" s="450"/>
      <c r="AJ16" s="450"/>
      <c r="AK16" s="450">
        <v>232.49833333333333</v>
      </c>
      <c r="AL16" s="752">
        <v>464.99666666666667</v>
      </c>
      <c r="AM16" s="752">
        <f>+AL16</f>
        <v>464.99666666666667</v>
      </c>
      <c r="AN16" s="752">
        <v>464.99666666666667</v>
      </c>
      <c r="AO16" s="752"/>
      <c r="AP16" s="752"/>
      <c r="AQ16" s="734">
        <f t="shared" si="2"/>
        <v>1627.4883333333335</v>
      </c>
      <c r="AR16" s="735">
        <f t="shared" ref="AR16" si="7">SUM(AE16:AP16)</f>
        <v>1627.4883333333335</v>
      </c>
      <c r="AS16" s="734">
        <f t="shared" si="6"/>
        <v>1162.4916666666666</v>
      </c>
      <c r="AT16" s="737"/>
      <c r="AU16" s="737"/>
      <c r="AV16" s="759" t="s">
        <v>603</v>
      </c>
      <c r="AW16" s="742" t="s">
        <v>605</v>
      </c>
    </row>
    <row r="17" spans="2:53" ht="15.75" thickBot="1" x14ac:dyDescent="0.3">
      <c r="B17" s="471"/>
      <c r="C17" s="472"/>
      <c r="D17" s="472"/>
      <c r="E17" s="473" t="s">
        <v>20</v>
      </c>
      <c r="F17" s="473"/>
      <c r="G17" s="473"/>
      <c r="H17" s="473"/>
      <c r="I17" s="473"/>
      <c r="J17" s="473"/>
      <c r="K17" s="474">
        <f>SUM(K3:K14)</f>
        <v>5329.3327499999996</v>
      </c>
      <c r="L17" s="474">
        <f>SUM(L3:L14)</f>
        <v>11768.65</v>
      </c>
      <c r="M17" s="474">
        <f>SUM(M3:M14)</f>
        <v>17582.079999999998</v>
      </c>
      <c r="N17" s="474">
        <f>SUM(N3:N14)</f>
        <v>23549.690000000002</v>
      </c>
      <c r="O17" s="475">
        <f>SUM(O3:O14)</f>
        <v>28208.532416666665</v>
      </c>
      <c r="P17" s="641"/>
      <c r="Q17" s="642"/>
      <c r="R17" s="643"/>
      <c r="S17" s="644"/>
      <c r="T17" s="645"/>
      <c r="U17" s="642"/>
      <c r="V17" s="763">
        <f t="shared" ref="V17:AJ17" si="8">SUM(V3:V14)</f>
        <v>1180.73</v>
      </c>
      <c r="W17" s="763">
        <f t="shared" si="8"/>
        <v>1180.73</v>
      </c>
      <c r="X17" s="763">
        <f t="shared" si="8"/>
        <v>1180.73</v>
      </c>
      <c r="Y17" s="763">
        <f t="shared" si="8"/>
        <v>1180.73</v>
      </c>
      <c r="Z17" s="763">
        <f t="shared" si="8"/>
        <v>1251.6300000000001</v>
      </c>
      <c r="AA17" s="763">
        <f t="shared" si="8"/>
        <v>1180.73</v>
      </c>
      <c r="AB17" s="763">
        <f t="shared" si="8"/>
        <v>1251.6200000000001</v>
      </c>
      <c r="AC17" s="763">
        <f t="shared" si="8"/>
        <v>3039.8576666666668</v>
      </c>
      <c r="AD17" s="763">
        <f t="shared" si="8"/>
        <v>5480.0694999999996</v>
      </c>
      <c r="AE17" s="476">
        <f>SUM(AE3:AE14)</f>
        <v>5884.3194999999996</v>
      </c>
      <c r="AF17" s="476">
        <f>SUM(AF3:AF14)</f>
        <v>5884.3294999999998</v>
      </c>
      <c r="AG17" s="476">
        <f t="shared" si="8"/>
        <v>5813.4295000000002</v>
      </c>
      <c r="AH17" s="476">
        <f t="shared" si="8"/>
        <v>5967.61175</v>
      </c>
      <c r="AI17" s="477">
        <f t="shared" si="8"/>
        <v>4658.8318333333345</v>
      </c>
      <c r="AJ17" s="477">
        <f t="shared" si="8"/>
        <v>3993.5715000000005</v>
      </c>
      <c r="AK17" s="735">
        <f>SUM(AK3:AK16)</f>
        <v>3460.4827500000001</v>
      </c>
      <c r="AL17" s="735">
        <f>SUM(AL3:AL16)</f>
        <v>4627.1192500000006</v>
      </c>
      <c r="AM17" s="735">
        <f>SUM(AM3:AM16)</f>
        <v>4627.1192500000006</v>
      </c>
      <c r="AN17" s="735">
        <f>SUM(AN3:AN16)</f>
        <v>4627.1192500000006</v>
      </c>
      <c r="AO17" s="478"/>
      <c r="AP17" s="478"/>
      <c r="AQ17" s="646">
        <f>SUM(AQ3:AQ16)</f>
        <v>49543.934083333334</v>
      </c>
      <c r="AR17" s="647">
        <f>SUM(AR3:AR16)</f>
        <v>65175.285833333335</v>
      </c>
      <c r="AS17" s="764">
        <f>SUM(AS3:AS16)</f>
        <v>12987.295166666669</v>
      </c>
      <c r="AT17" s="765">
        <f>+G53</f>
        <v>12987.268169999996</v>
      </c>
      <c r="AU17" s="766">
        <f>+AT17-AS17</f>
        <v>-2.6996666672857828E-2</v>
      </c>
      <c r="AV17" s="648"/>
    </row>
    <row r="18" spans="2:53" ht="16.5" customHeight="1" thickBot="1" x14ac:dyDescent="0.3">
      <c r="B18" s="767" t="s">
        <v>10</v>
      </c>
      <c r="E18" s="31"/>
      <c r="J18" s="768"/>
      <c r="K18" s="31">
        <f>K17</f>
        <v>5329.3327499999996</v>
      </c>
      <c r="L18" s="31">
        <f>L17-K17</f>
        <v>6439.3172500000001</v>
      </c>
      <c r="M18" s="31">
        <f>M17-L17</f>
        <v>5813.4299999999985</v>
      </c>
      <c r="N18" s="31">
        <f>N17-M17</f>
        <v>5967.6100000000042</v>
      </c>
      <c r="O18" s="31">
        <f>O17-N17</f>
        <v>4658.8424166666628</v>
      </c>
      <c r="P18" s="31"/>
      <c r="Q18" s="31">
        <f>SUM(Q3:Q11)</f>
        <v>27587280.916666668</v>
      </c>
      <c r="R18" s="31">
        <f>SUM(R3:R14)</f>
        <v>28066.752416666666</v>
      </c>
      <c r="S18" s="31"/>
      <c r="T18" s="31">
        <f>SUM(R6:R14)</f>
        <v>21854.729666666666</v>
      </c>
      <c r="U18" s="31" t="s">
        <v>633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G18" s="129"/>
      <c r="AQ18" s="4"/>
      <c r="AT18" t="s">
        <v>20</v>
      </c>
      <c r="AU18" s="769"/>
      <c r="AV18" s="770"/>
      <c r="BA18" s="683"/>
    </row>
    <row r="19" spans="2:53" ht="24" customHeight="1" thickBot="1" x14ac:dyDescent="0.3">
      <c r="B19" s="771" t="s">
        <v>634</v>
      </c>
      <c r="C19" s="772"/>
      <c r="D19" s="772"/>
      <c r="E19" s="773"/>
      <c r="F19" s="772"/>
      <c r="G19" s="772"/>
      <c r="H19" s="772"/>
      <c r="I19" s="774"/>
      <c r="J19" s="775"/>
      <c r="K19" s="775"/>
      <c r="L19" s="775"/>
      <c r="M19" s="775"/>
      <c r="N19" s="775" t="s">
        <v>20</v>
      </c>
      <c r="O19" s="775"/>
      <c r="P19" s="775"/>
      <c r="Q19" s="775"/>
      <c r="R19" s="775"/>
      <c r="S19" s="775"/>
      <c r="T19" s="775">
        <f>+T18*1000</f>
        <v>21854729.666666668</v>
      </c>
      <c r="U19" s="775"/>
      <c r="V19" s="775"/>
      <c r="W19" s="775"/>
      <c r="X19" s="775"/>
      <c r="Y19" s="775"/>
      <c r="Z19" s="775"/>
      <c r="AA19" s="775"/>
      <c r="AB19" s="775"/>
      <c r="AC19" s="775"/>
      <c r="AD19" s="775"/>
      <c r="AE19" s="776">
        <f>SUM(AE5:AE14)</f>
        <v>4703.5895</v>
      </c>
      <c r="AF19" s="776">
        <f>SUM(AF5:AF14)</f>
        <v>4703.5895</v>
      </c>
      <c r="AG19" s="777">
        <f>SUM(AG6:AG14)</f>
        <v>4632.6995000000006</v>
      </c>
      <c r="AH19" s="776">
        <f>SUM(AH6:AH14)</f>
        <v>4632.6995000000006</v>
      </c>
      <c r="AI19" s="778">
        <f>SUM(AI8:AI14)</f>
        <v>3323.9218333333329</v>
      </c>
      <c r="AJ19" s="776">
        <f>SUM(AJ8:AJ14)</f>
        <v>2658.6614999999997</v>
      </c>
      <c r="AK19" s="776">
        <f>SUM(AK12:AK16)</f>
        <v>2125.5727500000003</v>
      </c>
      <c r="AL19" s="776">
        <f>+AL12+AL13+AL14+AL15+AL16</f>
        <v>3292.2092499999999</v>
      </c>
      <c r="AM19" s="776">
        <f>+AM12+AM13+AM14+AM15+AM16</f>
        <v>3292.2092499999999</v>
      </c>
      <c r="AN19" s="776">
        <f>+AN12+AN13+AN14+AN15+AN16</f>
        <v>3292.2092499999999</v>
      </c>
      <c r="AO19" s="776"/>
      <c r="AP19" s="776"/>
      <c r="AQ19" s="779"/>
      <c r="AR19" s="414"/>
      <c r="AS19" s="414"/>
      <c r="AT19" s="414"/>
      <c r="AU19" s="414"/>
      <c r="AV19" s="780"/>
      <c r="AW19" s="620" t="s">
        <v>635</v>
      </c>
      <c r="AX19" s="683"/>
    </row>
    <row r="20" spans="2:53" x14ac:dyDescent="0.25">
      <c r="T20" s="129"/>
      <c r="AL20" s="129"/>
      <c r="AQ20" s="395"/>
      <c r="AW20" s="129">
        <f>SUM(AE19:AL19)</f>
        <v>30072.943333333333</v>
      </c>
    </row>
    <row r="21" spans="2:53" x14ac:dyDescent="0.25">
      <c r="R21" s="129"/>
      <c r="AL21" s="129"/>
      <c r="AQ21" s="395"/>
      <c r="AV21" s="129"/>
      <c r="AW21" s="129"/>
    </row>
    <row r="22" spans="2:53" x14ac:dyDescent="0.25">
      <c r="AK22" s="781"/>
      <c r="AQ22" s="395"/>
      <c r="AX22" s="129"/>
    </row>
    <row r="23" spans="2:53" x14ac:dyDescent="0.25">
      <c r="C23" s="782"/>
      <c r="G23" s="31" t="s">
        <v>636</v>
      </c>
      <c r="Q23" s="129"/>
      <c r="AQ23" s="129"/>
      <c r="AX23" s="129"/>
    </row>
    <row r="24" spans="2:53" x14ac:dyDescent="0.25">
      <c r="C24" s="782"/>
      <c r="G24" s="783">
        <v>45292</v>
      </c>
      <c r="H24" s="783"/>
      <c r="I24" s="784"/>
      <c r="J24" s="785">
        <v>1180732.75</v>
      </c>
      <c r="K24" s="783"/>
      <c r="L24" s="783"/>
      <c r="M24" s="783"/>
      <c r="N24" s="783"/>
      <c r="O24" s="786">
        <v>1180732.75</v>
      </c>
      <c r="Q24" s="4"/>
      <c r="S24" s="683"/>
      <c r="AV24" s="787"/>
    </row>
    <row r="25" spans="2:53" x14ac:dyDescent="0.25">
      <c r="E25" s="683"/>
      <c r="G25" s="783">
        <v>45323</v>
      </c>
      <c r="H25" s="783"/>
      <c r="I25" s="784"/>
      <c r="J25" s="785">
        <v>1180732.75</v>
      </c>
      <c r="K25" s="783"/>
      <c r="L25" s="783"/>
      <c r="M25" s="783"/>
      <c r="N25" s="783"/>
      <c r="O25" s="786">
        <v>1180732.75</v>
      </c>
      <c r="Q25" s="4"/>
      <c r="S25" s="683"/>
      <c r="AV25" s="129"/>
    </row>
    <row r="26" spans="2:53" x14ac:dyDescent="0.25">
      <c r="E26" s="788"/>
      <c r="G26" s="783">
        <v>45352</v>
      </c>
      <c r="H26" s="783"/>
      <c r="I26" s="784"/>
      <c r="J26" s="785">
        <v>1180732.75</v>
      </c>
      <c r="K26" s="783"/>
      <c r="L26" s="783"/>
      <c r="M26" s="783"/>
      <c r="N26" s="783"/>
      <c r="O26" s="786">
        <v>1180732.75</v>
      </c>
      <c r="Q26" s="683"/>
      <c r="R26" s="683"/>
      <c r="AQ26" s="683"/>
      <c r="AV26" s="129"/>
    </row>
    <row r="27" spans="2:53" x14ac:dyDescent="0.25">
      <c r="G27" s="783">
        <v>45383</v>
      </c>
      <c r="H27" s="783"/>
      <c r="I27" s="784"/>
      <c r="J27" s="789">
        <v>1334912.25</v>
      </c>
      <c r="K27" s="783"/>
      <c r="L27" s="783"/>
      <c r="M27" s="783"/>
      <c r="N27" s="783"/>
      <c r="O27" s="790">
        <v>1334912.25</v>
      </c>
      <c r="P27" s="129"/>
      <c r="AF27" s="129"/>
      <c r="AQ27" s="683"/>
      <c r="AS27" s="129"/>
      <c r="AT27" s="129"/>
      <c r="AV27" s="787"/>
    </row>
    <row r="28" spans="2:53" x14ac:dyDescent="0.25">
      <c r="G28" s="783">
        <v>45413</v>
      </c>
      <c r="H28" s="783"/>
      <c r="I28" s="784"/>
      <c r="J28" s="789">
        <f t="shared" ref="J28:J33" si="9">+J27</f>
        <v>1334912.25</v>
      </c>
      <c r="K28" s="791"/>
      <c r="L28" s="791"/>
      <c r="M28" s="791"/>
      <c r="N28" s="791"/>
      <c r="O28" s="792">
        <f>+O27</f>
        <v>1334912.25</v>
      </c>
      <c r="P28" s="129">
        <f>+O27+O28</f>
        <v>2669824.5</v>
      </c>
      <c r="AE28" s="129"/>
      <c r="AQ28" s="683"/>
      <c r="AV28" s="129"/>
    </row>
    <row r="29" spans="2:53" x14ac:dyDescent="0.25">
      <c r="G29" s="783">
        <v>45444</v>
      </c>
      <c r="H29" s="783"/>
      <c r="I29" s="784"/>
      <c r="J29" s="789">
        <f t="shared" si="9"/>
        <v>1334912.25</v>
      </c>
      <c r="K29" s="791"/>
      <c r="L29" s="791"/>
      <c r="M29" s="791"/>
      <c r="N29" s="791"/>
      <c r="O29" s="792"/>
      <c r="AQ29" s="129"/>
    </row>
    <row r="30" spans="2:53" x14ac:dyDescent="0.25">
      <c r="G30" s="783">
        <v>45474</v>
      </c>
      <c r="H30" s="783"/>
      <c r="I30" s="784"/>
      <c r="J30" s="789">
        <f t="shared" si="9"/>
        <v>1334912.25</v>
      </c>
      <c r="K30" s="791"/>
      <c r="L30" s="791"/>
      <c r="M30" s="791"/>
      <c r="N30" s="791"/>
      <c r="O30" s="792"/>
      <c r="AE30" s="129"/>
      <c r="AV30" s="129"/>
      <c r="AW30" s="129"/>
    </row>
    <row r="31" spans="2:53" x14ac:dyDescent="0.25">
      <c r="G31" s="783">
        <v>45505</v>
      </c>
      <c r="H31" s="783"/>
      <c r="I31" s="784"/>
      <c r="J31" s="789">
        <f t="shared" si="9"/>
        <v>1334912.25</v>
      </c>
      <c r="K31" s="791"/>
      <c r="L31" s="791"/>
      <c r="M31" s="791"/>
      <c r="N31" s="791"/>
      <c r="O31" s="792"/>
      <c r="Q31" s="683"/>
      <c r="AF31" s="129"/>
      <c r="AV31" s="129"/>
    </row>
    <row r="32" spans="2:53" x14ac:dyDescent="0.25">
      <c r="G32" s="783">
        <v>45536</v>
      </c>
      <c r="H32" s="783"/>
      <c r="I32" s="784"/>
      <c r="J32" s="789">
        <f t="shared" si="9"/>
        <v>1334912.25</v>
      </c>
      <c r="K32" s="791"/>
      <c r="L32" s="791"/>
      <c r="M32" s="791"/>
      <c r="N32" s="791"/>
      <c r="O32" s="793"/>
      <c r="AV32" s="129"/>
    </row>
    <row r="33" spans="2:48" x14ac:dyDescent="0.25">
      <c r="G33" s="783">
        <v>45566</v>
      </c>
      <c r="H33" s="783"/>
      <c r="I33" s="784"/>
      <c r="J33" s="789">
        <f t="shared" si="9"/>
        <v>1334912.25</v>
      </c>
      <c r="K33" s="791"/>
      <c r="L33" s="791"/>
      <c r="M33" s="791"/>
      <c r="N33" s="791"/>
      <c r="O33" s="793"/>
    </row>
    <row r="34" spans="2:48" x14ac:dyDescent="0.25">
      <c r="G34" s="791">
        <v>45597</v>
      </c>
      <c r="H34" s="791"/>
      <c r="I34" s="794"/>
      <c r="J34" s="791"/>
      <c r="K34" s="791"/>
      <c r="L34" s="791"/>
      <c r="M34" s="791"/>
      <c r="N34" s="791"/>
      <c r="O34" s="793"/>
      <c r="AV34" s="4"/>
    </row>
    <row r="35" spans="2:48" x14ac:dyDescent="0.25">
      <c r="G35" s="791">
        <v>45627</v>
      </c>
      <c r="H35" s="791"/>
      <c r="I35" s="794"/>
      <c r="J35" s="791"/>
      <c r="K35" s="791"/>
      <c r="L35" s="791"/>
      <c r="M35" s="791"/>
      <c r="N35" s="791"/>
      <c r="O35" s="793"/>
      <c r="AV35" s="129"/>
    </row>
    <row r="36" spans="2:48" x14ac:dyDescent="0.25">
      <c r="J36" s="795">
        <f>SUM(J24:J35)</f>
        <v>12886584</v>
      </c>
      <c r="O36" s="795">
        <f>SUM(O24:O35)</f>
        <v>6212022.75</v>
      </c>
      <c r="AE36" s="129"/>
      <c r="AF36" s="129"/>
      <c r="AV36" s="129"/>
    </row>
    <row r="37" spans="2:48" x14ac:dyDescent="0.25">
      <c r="J37" s="782">
        <f>+J36/1000</f>
        <v>12886.584000000001</v>
      </c>
      <c r="AF37" s="129"/>
      <c r="AV37" s="4"/>
    </row>
    <row r="38" spans="2:48" x14ac:dyDescent="0.25">
      <c r="AV38" s="129"/>
    </row>
    <row r="39" spans="2:48" x14ac:dyDescent="0.25">
      <c r="AV39" s="129"/>
    </row>
    <row r="40" spans="2:48" ht="15.75" thickBot="1" x14ac:dyDescent="0.3"/>
    <row r="41" spans="2:48" ht="15.75" thickBot="1" x14ac:dyDescent="0.3">
      <c r="B41" s="1018" t="s">
        <v>637</v>
      </c>
      <c r="C41" s="1019"/>
      <c r="D41" s="1019"/>
      <c r="E41" s="1019"/>
      <c r="F41" s="1019"/>
      <c r="G41" s="1020"/>
      <c r="H41" s="796"/>
      <c r="J41" s="472"/>
      <c r="K41" s="472"/>
      <c r="L41" s="472"/>
      <c r="M41" s="472"/>
      <c r="N41" s="472"/>
      <c r="P41" s="683"/>
      <c r="Q41" s="129"/>
      <c r="R41" s="129"/>
    </row>
    <row r="42" spans="2:48" ht="15.75" thickBot="1" x14ac:dyDescent="0.3">
      <c r="B42" s="797" t="s">
        <v>638</v>
      </c>
      <c r="C42" s="798" t="s">
        <v>136</v>
      </c>
      <c r="D42" s="799" t="s">
        <v>639</v>
      </c>
      <c r="E42" s="799" t="s">
        <v>640</v>
      </c>
      <c r="F42" s="799" t="s">
        <v>641</v>
      </c>
      <c r="G42" s="799" t="s">
        <v>642</v>
      </c>
      <c r="H42" s="800"/>
      <c r="I42" s="801"/>
      <c r="J42" s="800"/>
      <c r="K42" s="800"/>
      <c r="L42" s="800"/>
      <c r="M42" s="800"/>
      <c r="N42" s="800"/>
      <c r="P42" s="683"/>
      <c r="Q42" s="129"/>
      <c r="R42" s="129"/>
      <c r="AV42" s="129"/>
    </row>
    <row r="43" spans="2:48" ht="15.75" thickBot="1" x14ac:dyDescent="0.3">
      <c r="B43" s="739" t="s">
        <v>643</v>
      </c>
      <c r="C43" t="s">
        <v>644</v>
      </c>
      <c r="D43" s="802">
        <v>0</v>
      </c>
      <c r="E43" s="4">
        <f>+G43</f>
        <v>49543.993430000002</v>
      </c>
      <c r="F43" s="802">
        <v>0</v>
      </c>
      <c r="G43" s="689">
        <f>+G44</f>
        <v>49543.993430000002</v>
      </c>
      <c r="H43" s="395">
        <f>+AQ17</f>
        <v>49543.934083333334</v>
      </c>
      <c r="I43" s="803">
        <f>+H43-G43</f>
        <v>-5.9346666668716352E-2</v>
      </c>
      <c r="J43" s="395"/>
      <c r="K43" s="395"/>
      <c r="L43" s="395"/>
      <c r="M43" s="395"/>
      <c r="N43" s="395"/>
      <c r="P43" s="129"/>
      <c r="AF43" s="129"/>
      <c r="AV43" s="129"/>
    </row>
    <row r="44" spans="2:48" x14ac:dyDescent="0.25">
      <c r="B44" s="739" t="s">
        <v>645</v>
      </c>
      <c r="C44" t="s">
        <v>646</v>
      </c>
      <c r="D44" s="802">
        <v>0</v>
      </c>
      <c r="E44" s="4">
        <f>+E45+E48</f>
        <v>49543.993430000002</v>
      </c>
      <c r="F44" s="802">
        <v>0</v>
      </c>
      <c r="G44" s="264">
        <f>+G46+G49</f>
        <v>49543.993430000002</v>
      </c>
      <c r="H44" s="395"/>
      <c r="I44" s="803"/>
      <c r="J44" s="395" t="s">
        <v>647</v>
      </c>
      <c r="K44" s="395"/>
      <c r="L44" s="395"/>
      <c r="M44" s="395"/>
      <c r="N44" s="395"/>
      <c r="P44" s="129"/>
      <c r="Q44" s="129"/>
      <c r="AF44" s="129"/>
      <c r="AG44" s="129"/>
      <c r="AH44" s="129"/>
      <c r="AV44" s="129"/>
    </row>
    <row r="45" spans="2:48" ht="15.75" thickBot="1" x14ac:dyDescent="0.3">
      <c r="B45" s="739" t="s">
        <v>648</v>
      </c>
      <c r="C45" t="s">
        <v>649</v>
      </c>
      <c r="D45" s="802">
        <v>0</v>
      </c>
      <c r="E45" s="4">
        <v>12886.584000000001</v>
      </c>
      <c r="F45" s="802">
        <v>0</v>
      </c>
      <c r="G45" s="264">
        <f>+G46</f>
        <v>12886.584000000001</v>
      </c>
      <c r="H45" s="804"/>
      <c r="I45" s="805"/>
      <c r="J45" s="804">
        <v>12886584</v>
      </c>
      <c r="K45" s="804"/>
      <c r="L45" s="804"/>
      <c r="M45" s="804"/>
      <c r="N45" s="804"/>
      <c r="AG45" s="129"/>
      <c r="AV45" s="683"/>
    </row>
    <row r="46" spans="2:48" ht="15.75" thickBot="1" x14ac:dyDescent="0.3">
      <c r="B46" s="739" t="s">
        <v>650</v>
      </c>
      <c r="C46" t="s">
        <v>649</v>
      </c>
      <c r="D46" s="802">
        <v>0</v>
      </c>
      <c r="E46" s="4">
        <v>12886.584000000001</v>
      </c>
      <c r="F46" s="802">
        <v>0</v>
      </c>
      <c r="G46" s="806">
        <f>+G47</f>
        <v>12886.584000000001</v>
      </c>
      <c r="H46" s="395"/>
      <c r="I46" s="803"/>
      <c r="J46" s="807">
        <f>+J45/1000</f>
        <v>12886.584000000001</v>
      </c>
      <c r="K46" s="395"/>
      <c r="L46" s="395"/>
      <c r="M46" s="395"/>
      <c r="N46" s="395"/>
      <c r="O46" s="395"/>
      <c r="P46" s="4"/>
      <c r="AF46" s="4"/>
      <c r="AV46" s="129"/>
    </row>
    <row r="47" spans="2:48" x14ac:dyDescent="0.25">
      <c r="B47" s="739" t="s">
        <v>651</v>
      </c>
      <c r="C47" t="s">
        <v>649</v>
      </c>
      <c r="D47" s="802">
        <v>0</v>
      </c>
      <c r="E47" s="4">
        <v>12886.584000000001</v>
      </c>
      <c r="F47" s="802">
        <v>0</v>
      </c>
      <c r="G47" s="264">
        <f>+J46</f>
        <v>12886.584000000001</v>
      </c>
      <c r="H47" s="804"/>
      <c r="I47" s="805"/>
      <c r="J47" s="804"/>
      <c r="K47" s="804"/>
      <c r="L47" s="804"/>
      <c r="M47" s="804"/>
      <c r="N47" s="804"/>
      <c r="P47" s="129"/>
    </row>
    <row r="48" spans="2:48" ht="15.75" thickBot="1" x14ac:dyDescent="0.3">
      <c r="B48" s="739" t="s">
        <v>652</v>
      </c>
      <c r="C48" t="s">
        <v>653</v>
      </c>
      <c r="D48" s="802">
        <v>0</v>
      </c>
      <c r="E48" s="4">
        <v>36657.40943</v>
      </c>
      <c r="F48" s="802">
        <v>0</v>
      </c>
      <c r="G48" s="4">
        <v>36657.40943</v>
      </c>
      <c r="H48" s="804"/>
      <c r="I48" s="805"/>
      <c r="J48" s="804">
        <v>36657409.43</v>
      </c>
      <c r="K48" s="804"/>
      <c r="L48" s="804"/>
      <c r="M48" s="804"/>
      <c r="N48" s="804"/>
      <c r="P48" s="129"/>
    </row>
    <row r="49" spans="2:48" ht="15.75" thickBot="1" x14ac:dyDescent="0.3">
      <c r="B49" s="739" t="s">
        <v>654</v>
      </c>
      <c r="C49" t="s">
        <v>653</v>
      </c>
      <c r="D49" s="802">
        <v>0</v>
      </c>
      <c r="E49" s="4">
        <v>36657.40943</v>
      </c>
      <c r="F49" s="802">
        <v>0</v>
      </c>
      <c r="G49" s="4">
        <v>36657.40943</v>
      </c>
      <c r="H49" s="804"/>
      <c r="I49" s="805"/>
      <c r="J49" s="807">
        <f>+J48/1000</f>
        <v>36657.40943</v>
      </c>
      <c r="K49" s="804"/>
      <c r="L49" s="804"/>
      <c r="M49" s="804"/>
      <c r="N49" s="804"/>
      <c r="O49" s="395"/>
      <c r="P49" s="683"/>
      <c r="AV49" s="4"/>
    </row>
    <row r="50" spans="2:48" x14ac:dyDescent="0.25">
      <c r="B50" s="739" t="s">
        <v>655</v>
      </c>
      <c r="C50" t="s">
        <v>653</v>
      </c>
      <c r="D50" s="802">
        <v>0</v>
      </c>
      <c r="E50" s="4">
        <v>36657.40943</v>
      </c>
      <c r="F50" s="802">
        <v>0</v>
      </c>
      <c r="G50" s="4">
        <v>36657.40943</v>
      </c>
      <c r="J50" s="395">
        <f>+J49+J46</f>
        <v>49543.993430000002</v>
      </c>
      <c r="P50" s="129"/>
      <c r="AF50" s="129"/>
      <c r="AV50" s="4"/>
    </row>
    <row r="51" spans="2:48" ht="15.75" thickBot="1" x14ac:dyDescent="0.3">
      <c r="J51" s="782"/>
      <c r="P51" s="4"/>
    </row>
    <row r="52" spans="2:48" ht="15.75" thickBot="1" x14ac:dyDescent="0.3">
      <c r="B52" s="1018" t="s">
        <v>656</v>
      </c>
      <c r="C52" s="1019"/>
      <c r="D52" s="1019"/>
      <c r="E52" s="1019"/>
      <c r="F52" s="1019"/>
      <c r="G52" s="1020"/>
      <c r="H52" s="782"/>
      <c r="I52" s="808"/>
      <c r="J52" s="782"/>
      <c r="K52" s="782"/>
      <c r="L52" s="782"/>
      <c r="M52" s="782"/>
      <c r="N52" s="782"/>
    </row>
    <row r="53" spans="2:48" x14ac:dyDescent="0.25">
      <c r="B53" s="809" t="s">
        <v>657</v>
      </c>
      <c r="C53" t="s">
        <v>658</v>
      </c>
      <c r="D53" s="802">
        <v>26295.622239999997</v>
      </c>
      <c r="E53" s="4">
        <v>36235.639360000001</v>
      </c>
      <c r="F53" s="802">
        <v>49543.993430000002</v>
      </c>
      <c r="G53" s="782">
        <f>+D53+E53-F53</f>
        <v>12987.268169999996</v>
      </c>
      <c r="H53" s="782"/>
      <c r="I53" s="808"/>
      <c r="J53" s="782"/>
      <c r="K53" s="782"/>
      <c r="L53" s="782"/>
      <c r="M53" s="782"/>
      <c r="N53" s="782"/>
    </row>
    <row r="54" spans="2:48" x14ac:dyDescent="0.25">
      <c r="B54" s="809" t="s">
        <v>659</v>
      </c>
      <c r="C54" t="s">
        <v>660</v>
      </c>
      <c r="D54" s="802">
        <v>26295.622239999997</v>
      </c>
      <c r="E54" s="4">
        <v>36235.639360000001</v>
      </c>
      <c r="F54" s="802">
        <v>49543.993430000002</v>
      </c>
      <c r="G54" s="782">
        <f t="shared" ref="G54:G58" si="10">+D54+E54-F54</f>
        <v>12987.268169999996</v>
      </c>
      <c r="J54" s="782"/>
      <c r="AF54" s="4"/>
    </row>
    <row r="55" spans="2:48" x14ac:dyDescent="0.25">
      <c r="B55" s="809" t="s">
        <v>661</v>
      </c>
      <c r="C55" t="s">
        <v>662</v>
      </c>
      <c r="D55" s="802">
        <v>26295.622239999997</v>
      </c>
      <c r="E55" s="4">
        <v>36235.639360000001</v>
      </c>
      <c r="F55" s="802">
        <v>49543.993430000002</v>
      </c>
      <c r="G55" s="782">
        <f t="shared" si="10"/>
        <v>12987.268169999996</v>
      </c>
      <c r="J55" s="782"/>
    </row>
    <row r="56" spans="2:48" x14ac:dyDescent="0.25">
      <c r="B56" s="809" t="s">
        <v>663</v>
      </c>
      <c r="C56" t="s">
        <v>597</v>
      </c>
      <c r="D56" s="802">
        <v>26295.622239999997</v>
      </c>
      <c r="E56" s="4">
        <v>36235.639360000001</v>
      </c>
      <c r="F56" s="802">
        <v>49543.993430000002</v>
      </c>
      <c r="G56" s="782">
        <f t="shared" si="10"/>
        <v>12987.268169999996</v>
      </c>
      <c r="J56" s="782"/>
      <c r="AF56" s="4">
        <f>+G58-G45</f>
        <v>100.68416999999499</v>
      </c>
    </row>
    <row r="57" spans="2:48" x14ac:dyDescent="0.25">
      <c r="B57" s="809" t="s">
        <v>664</v>
      </c>
      <c r="C57" t="s">
        <v>597</v>
      </c>
      <c r="D57" s="802">
        <v>26295.622239999997</v>
      </c>
      <c r="E57" s="4">
        <v>36235.639360000001</v>
      </c>
      <c r="F57" s="802">
        <v>49543.993430000002</v>
      </c>
      <c r="G57" s="782">
        <f t="shared" si="10"/>
        <v>12987.268169999996</v>
      </c>
      <c r="J57" s="782"/>
      <c r="AF57" s="683">
        <f>+AF56*1000</f>
        <v>100684.16999999499</v>
      </c>
    </row>
    <row r="58" spans="2:48" x14ac:dyDescent="0.25">
      <c r="B58" s="809" t="s">
        <v>665</v>
      </c>
      <c r="C58" t="s">
        <v>597</v>
      </c>
      <c r="D58" s="802">
        <v>26295.622239999997</v>
      </c>
      <c r="E58" s="4">
        <v>36235.639360000001</v>
      </c>
      <c r="F58" s="802">
        <v>49543.993430000002</v>
      </c>
      <c r="G58" s="782">
        <f t="shared" si="10"/>
        <v>12987.268169999996</v>
      </c>
      <c r="J58" s="782"/>
    </row>
    <row r="59" spans="2:48" x14ac:dyDescent="0.25">
      <c r="F59" s="395"/>
    </row>
    <row r="60" spans="2:48" x14ac:dyDescent="0.25">
      <c r="J60" s="782"/>
    </row>
    <row r="61" spans="2:48" x14ac:dyDescent="0.25">
      <c r="B61" s="810">
        <v>22241524.670000002</v>
      </c>
      <c r="J61" s="782"/>
    </row>
    <row r="62" spans="2:48" x14ac:dyDescent="0.25">
      <c r="B62" s="810">
        <f>+B61/1000</f>
        <v>22241.524670000003</v>
      </c>
      <c r="AF62" s="683"/>
    </row>
    <row r="64" spans="2:48" ht="15.75" thickBot="1" x14ac:dyDescent="0.3"/>
    <row r="65" spans="2:10" ht="17.25" thickBot="1" x14ac:dyDescent="0.35">
      <c r="B65" s="993" t="s">
        <v>607</v>
      </c>
      <c r="C65" s="994"/>
      <c r="D65" s="994"/>
      <c r="E65" s="994"/>
      <c r="F65" s="994"/>
      <c r="G65" s="994"/>
      <c r="H65" s="995"/>
    </row>
    <row r="66" spans="2:10" ht="15.75" thickBot="1" x14ac:dyDescent="0.3">
      <c r="B66" s="996" t="s">
        <v>123</v>
      </c>
      <c r="C66" s="998" t="s">
        <v>124</v>
      </c>
      <c r="D66" s="998" t="s">
        <v>125</v>
      </c>
      <c r="E66" s="998" t="s">
        <v>133</v>
      </c>
      <c r="F66" s="1000" t="s">
        <v>611</v>
      </c>
      <c r="G66" s="1001"/>
      <c r="H66" s="998" t="s">
        <v>589</v>
      </c>
    </row>
    <row r="67" spans="2:10" ht="15.75" thickBot="1" x14ac:dyDescent="0.3">
      <c r="B67" s="997"/>
      <c r="C67" s="999"/>
      <c r="D67" s="999"/>
      <c r="E67" s="999"/>
      <c r="F67" s="62" t="s">
        <v>612</v>
      </c>
      <c r="G67" s="679" t="s">
        <v>359</v>
      </c>
      <c r="H67" s="999"/>
    </row>
    <row r="68" spans="2:10" ht="15.75" thickBot="1" x14ac:dyDescent="0.3">
      <c r="B68" s="722" t="s">
        <v>127</v>
      </c>
      <c r="C68" s="723" t="s">
        <v>128</v>
      </c>
      <c r="D68" s="723" t="s">
        <v>129</v>
      </c>
      <c r="E68" s="811">
        <v>14168.793</v>
      </c>
      <c r="F68" s="812">
        <v>44927</v>
      </c>
      <c r="G68" s="832">
        <v>45291</v>
      </c>
      <c r="H68" s="813">
        <v>2.3000000002866727E-2</v>
      </c>
    </row>
    <row r="69" spans="2:10" x14ac:dyDescent="0.25">
      <c r="B69" s="729" t="s">
        <v>127</v>
      </c>
      <c r="C69" s="730" t="s">
        <v>128</v>
      </c>
      <c r="D69" s="730" t="s">
        <v>129</v>
      </c>
      <c r="E69" s="443">
        <v>16018.947</v>
      </c>
      <c r="F69" s="444">
        <v>45292</v>
      </c>
      <c r="G69" s="669">
        <v>45657</v>
      </c>
      <c r="H69" s="686">
        <v>6674.5747499999998</v>
      </c>
    </row>
    <row r="70" spans="2:10" x14ac:dyDescent="0.25">
      <c r="B70" s="665" t="s">
        <v>593</v>
      </c>
      <c r="C70" s="457" t="s">
        <v>130</v>
      </c>
      <c r="D70" s="457" t="s">
        <v>131</v>
      </c>
      <c r="E70" s="443">
        <v>11209.657999999999</v>
      </c>
      <c r="F70" s="458">
        <v>45093</v>
      </c>
      <c r="G70" s="670">
        <v>45241</v>
      </c>
      <c r="H70" s="686">
        <f>+AS15</f>
        <v>4670.6908333333331</v>
      </c>
    </row>
    <row r="71" spans="2:10" x14ac:dyDescent="0.25">
      <c r="B71" s="666" t="s">
        <v>593</v>
      </c>
      <c r="C71" s="465" t="s">
        <v>130</v>
      </c>
      <c r="D71" s="457" t="s">
        <v>131</v>
      </c>
      <c r="E71" s="443">
        <v>2789.98</v>
      </c>
      <c r="F71" s="458">
        <v>45241</v>
      </c>
      <c r="G71" s="671">
        <v>45423</v>
      </c>
      <c r="H71" s="686">
        <f>+AS16</f>
        <v>1162.4916666666666</v>
      </c>
    </row>
    <row r="72" spans="2:10" x14ac:dyDescent="0.25">
      <c r="B72" s="667" t="s">
        <v>370</v>
      </c>
      <c r="C72" s="457" t="s">
        <v>130</v>
      </c>
      <c r="D72" s="457" t="s">
        <v>131</v>
      </c>
      <c r="E72" s="443">
        <v>4446.7470000000003</v>
      </c>
      <c r="F72" s="458">
        <v>45423</v>
      </c>
      <c r="G72" s="670">
        <v>45607</v>
      </c>
      <c r="H72" s="686">
        <f>+AS12</f>
        <v>370.55324999999903</v>
      </c>
    </row>
    <row r="73" spans="2:10" x14ac:dyDescent="0.25">
      <c r="B73" s="667" t="s">
        <v>373</v>
      </c>
      <c r="C73" s="457" t="s">
        <v>130</v>
      </c>
      <c r="D73" s="457" t="s">
        <v>131</v>
      </c>
      <c r="E73" s="443">
        <v>662.21699999999998</v>
      </c>
      <c r="F73" s="458">
        <v>45423</v>
      </c>
      <c r="G73" s="670">
        <v>45607</v>
      </c>
      <c r="H73" s="686">
        <f>+AS13</f>
        <v>55.189499999999953</v>
      </c>
    </row>
    <row r="74" spans="2:10" ht="15.75" thickBot="1" x14ac:dyDescent="0.3">
      <c r="B74" s="668" t="s">
        <v>375</v>
      </c>
      <c r="C74" s="528" t="s">
        <v>130</v>
      </c>
      <c r="D74" s="528" t="s">
        <v>131</v>
      </c>
      <c r="E74" s="529">
        <v>644.69399999999996</v>
      </c>
      <c r="F74" s="530">
        <v>45423</v>
      </c>
      <c r="G74" s="672">
        <v>45607</v>
      </c>
      <c r="H74" s="531">
        <f>+AS14</f>
        <v>53.773999999999887</v>
      </c>
    </row>
    <row r="75" spans="2:10" ht="15.75" thickBot="1" x14ac:dyDescent="0.3">
      <c r="B75" s="532"/>
      <c r="C75" s="664" t="s">
        <v>19</v>
      </c>
      <c r="D75" s="533"/>
      <c r="E75" s="534" t="s">
        <v>20</v>
      </c>
      <c r="F75" s="533"/>
      <c r="G75" s="533"/>
      <c r="H75" s="535">
        <f>SUM(H68:H74)</f>
        <v>12987.297</v>
      </c>
      <c r="I75" s="814"/>
      <c r="J75" s="795"/>
    </row>
    <row r="76" spans="2:10" x14ac:dyDescent="0.25">
      <c r="C76" s="564"/>
      <c r="E76" s="31" t="s">
        <v>620</v>
      </c>
      <c r="H76" s="675">
        <f>+G53</f>
        <v>12987.268169999996</v>
      </c>
    </row>
    <row r="77" spans="2:10" x14ac:dyDescent="0.25">
      <c r="H77" s="815">
        <f>+H76-H75</f>
        <v>-2.8830000004745671E-2</v>
      </c>
    </row>
    <row r="78" spans="2:10" ht="15.75" thickBot="1" x14ac:dyDescent="0.3"/>
    <row r="79" spans="2:10" ht="17.25" thickBot="1" x14ac:dyDescent="0.35">
      <c r="B79" s="993" t="s">
        <v>615</v>
      </c>
      <c r="C79" s="994"/>
      <c r="D79" s="994"/>
      <c r="E79" s="994"/>
      <c r="F79" s="994"/>
      <c r="G79" s="994"/>
      <c r="H79" s="995"/>
    </row>
    <row r="80" spans="2:10" ht="15.75" thickBot="1" x14ac:dyDescent="0.3">
      <c r="B80" s="996" t="s">
        <v>123</v>
      </c>
      <c r="C80" s="998" t="s">
        <v>124</v>
      </c>
      <c r="D80" s="998" t="s">
        <v>125</v>
      </c>
      <c r="E80" s="998" t="s">
        <v>133</v>
      </c>
      <c r="F80" s="1000" t="s">
        <v>611</v>
      </c>
      <c r="G80" s="1001"/>
      <c r="H80" s="998" t="s">
        <v>614</v>
      </c>
    </row>
    <row r="81" spans="2:10" ht="15.75" thickBot="1" x14ac:dyDescent="0.3">
      <c r="B81" s="997"/>
      <c r="C81" s="999"/>
      <c r="D81" s="999"/>
      <c r="E81" s="999"/>
      <c r="F81" s="62" t="s">
        <v>612</v>
      </c>
      <c r="G81" s="679" t="s">
        <v>359</v>
      </c>
      <c r="H81" s="999"/>
    </row>
    <row r="82" spans="2:10" x14ac:dyDescent="0.25">
      <c r="B82" s="722" t="s">
        <v>127</v>
      </c>
      <c r="C82" s="723" t="s">
        <v>128</v>
      </c>
      <c r="D82" s="723" t="s">
        <v>129</v>
      </c>
      <c r="E82" s="811">
        <v>14168.793</v>
      </c>
      <c r="F82" s="812">
        <v>44927</v>
      </c>
      <c r="G82" s="816">
        <v>45291</v>
      </c>
      <c r="H82" s="817">
        <v>3542.2000000000003</v>
      </c>
    </row>
    <row r="83" spans="2:10" x14ac:dyDescent="0.25">
      <c r="B83" s="567" t="s">
        <v>127</v>
      </c>
      <c r="C83" s="565" t="s">
        <v>128</v>
      </c>
      <c r="D83" s="565" t="s">
        <v>129</v>
      </c>
      <c r="E83" s="519">
        <v>16018.947</v>
      </c>
      <c r="F83" s="458">
        <v>45292</v>
      </c>
      <c r="G83" s="570">
        <v>45657</v>
      </c>
      <c r="H83" s="818">
        <f>+AQ4</f>
        <v>9344.3722500000003</v>
      </c>
    </row>
    <row r="84" spans="2:10" x14ac:dyDescent="0.25">
      <c r="B84" s="567" t="s">
        <v>132</v>
      </c>
      <c r="C84" s="457" t="s">
        <v>130</v>
      </c>
      <c r="D84" s="457" t="s">
        <v>131</v>
      </c>
      <c r="E84" s="519">
        <v>425.35</v>
      </c>
      <c r="F84" s="458">
        <v>45093</v>
      </c>
      <c r="G84" s="570">
        <v>45241</v>
      </c>
      <c r="H84" s="818">
        <f>+AQ5</f>
        <v>141.78</v>
      </c>
    </row>
    <row r="85" spans="2:10" x14ac:dyDescent="0.25">
      <c r="B85" s="462" t="s">
        <v>279</v>
      </c>
      <c r="C85" s="457" t="s">
        <v>130</v>
      </c>
      <c r="D85" s="457" t="s">
        <v>131</v>
      </c>
      <c r="E85" s="519">
        <v>9303.7029999999995</v>
      </c>
      <c r="F85" s="458">
        <v>45241</v>
      </c>
      <c r="G85" s="570">
        <v>45607</v>
      </c>
      <c r="H85" s="818">
        <v>6202.4686666666666</v>
      </c>
    </row>
    <row r="86" spans="2:10" x14ac:dyDescent="0.25">
      <c r="B86" s="462" t="s">
        <v>280</v>
      </c>
      <c r="C86" s="457" t="s">
        <v>130</v>
      </c>
      <c r="D86" s="457" t="s">
        <v>131</v>
      </c>
      <c r="E86" s="519">
        <v>703.30200000000002</v>
      </c>
      <c r="F86" s="458">
        <v>45241</v>
      </c>
      <c r="G86" s="570">
        <v>45423</v>
      </c>
      <c r="H86" s="818">
        <v>468.86799999999999</v>
      </c>
    </row>
    <row r="87" spans="2:10" x14ac:dyDescent="0.25">
      <c r="B87" s="462" t="s">
        <v>282</v>
      </c>
      <c r="C87" s="457" t="s">
        <v>130</v>
      </c>
      <c r="D87" s="457" t="s">
        <v>131</v>
      </c>
      <c r="E87" s="519">
        <v>3329.9340000000002</v>
      </c>
      <c r="F87" s="458">
        <v>45241</v>
      </c>
      <c r="G87" s="570">
        <v>45423</v>
      </c>
      <c r="H87" s="818">
        <v>3329.9340000000002</v>
      </c>
    </row>
    <row r="88" spans="2:10" x14ac:dyDescent="0.25">
      <c r="B88" s="462" t="s">
        <v>281</v>
      </c>
      <c r="C88" s="457" t="s">
        <v>130</v>
      </c>
      <c r="D88" s="457" t="s">
        <v>131</v>
      </c>
      <c r="E88" s="519">
        <v>722.42100000000005</v>
      </c>
      <c r="F88" s="458">
        <v>45241</v>
      </c>
      <c r="G88" s="570">
        <v>45417</v>
      </c>
      <c r="H88" s="818">
        <v>481.61400000000003</v>
      </c>
    </row>
    <row r="89" spans="2:10" x14ac:dyDescent="0.25">
      <c r="B89" s="462" t="s">
        <v>282</v>
      </c>
      <c r="C89" s="457" t="s">
        <v>130</v>
      </c>
      <c r="D89" s="457" t="s">
        <v>131</v>
      </c>
      <c r="E89" s="519">
        <v>8885.8369999999995</v>
      </c>
      <c r="F89" s="458">
        <v>45241</v>
      </c>
      <c r="G89" s="570">
        <v>45423</v>
      </c>
      <c r="H89" s="818">
        <v>8145.3505833333329</v>
      </c>
    </row>
    <row r="90" spans="2:10" x14ac:dyDescent="0.25">
      <c r="B90" s="462" t="s">
        <v>283</v>
      </c>
      <c r="C90" s="457" t="s">
        <v>130</v>
      </c>
      <c r="D90" s="457" t="s">
        <v>131</v>
      </c>
      <c r="E90" s="519">
        <v>4850.9979999999996</v>
      </c>
      <c r="F90" s="458">
        <v>45241</v>
      </c>
      <c r="G90" s="570">
        <v>45423</v>
      </c>
      <c r="H90" s="818">
        <v>4446.7498333333333</v>
      </c>
    </row>
    <row r="91" spans="2:10" x14ac:dyDescent="0.25">
      <c r="B91" s="462" t="s">
        <v>370</v>
      </c>
      <c r="C91" s="457" t="s">
        <v>130</v>
      </c>
      <c r="D91" s="457" t="s">
        <v>131</v>
      </c>
      <c r="E91" s="519">
        <v>4446.7470000000003</v>
      </c>
      <c r="F91" s="458">
        <v>45423</v>
      </c>
      <c r="G91" s="570">
        <v>45607</v>
      </c>
      <c r="H91" s="818">
        <f>+AQ12</f>
        <v>4076.1937500000013</v>
      </c>
    </row>
    <row r="92" spans="2:10" x14ac:dyDescent="0.25">
      <c r="B92" s="462" t="s">
        <v>373</v>
      </c>
      <c r="C92" s="457" t="s">
        <v>130</v>
      </c>
      <c r="D92" s="457" t="s">
        <v>131</v>
      </c>
      <c r="E92" s="519">
        <v>662.21699999999998</v>
      </c>
      <c r="F92" s="458">
        <v>45423</v>
      </c>
      <c r="G92" s="570">
        <v>45607</v>
      </c>
      <c r="H92" s="818">
        <f>+AQ13</f>
        <v>607.02750000000003</v>
      </c>
    </row>
    <row r="93" spans="2:10" x14ac:dyDescent="0.25">
      <c r="B93" s="462" t="s">
        <v>375</v>
      </c>
      <c r="C93" s="457" t="s">
        <v>130</v>
      </c>
      <c r="D93" s="457" t="s">
        <v>131</v>
      </c>
      <c r="E93" s="519">
        <v>644.69399999999996</v>
      </c>
      <c r="F93" s="458">
        <v>45423</v>
      </c>
      <c r="G93" s="570">
        <v>45607</v>
      </c>
      <c r="H93" s="818">
        <f>+AQ14</f>
        <v>590.92000000000007</v>
      </c>
    </row>
    <row r="94" spans="2:10" x14ac:dyDescent="0.25">
      <c r="B94" s="462" t="s">
        <v>593</v>
      </c>
      <c r="C94" s="457" t="s">
        <v>130</v>
      </c>
      <c r="D94" s="457" t="s">
        <v>131</v>
      </c>
      <c r="E94" s="519">
        <v>11209.657999999999</v>
      </c>
      <c r="F94" s="458">
        <v>45423</v>
      </c>
      <c r="G94" s="570">
        <v>45607</v>
      </c>
      <c r="H94" s="568">
        <f>+AQ15</f>
        <v>6538.9671666666663</v>
      </c>
    </row>
    <row r="95" spans="2:10" ht="15.75" thickBot="1" x14ac:dyDescent="0.3">
      <c r="B95" s="464" t="s">
        <v>593</v>
      </c>
      <c r="C95" s="465" t="s">
        <v>130</v>
      </c>
      <c r="D95" s="465" t="s">
        <v>131</v>
      </c>
      <c r="E95" s="585">
        <v>2789.98</v>
      </c>
      <c r="F95" s="467">
        <v>45439</v>
      </c>
      <c r="G95" s="584">
        <v>45607</v>
      </c>
      <c r="H95" s="690">
        <f>+AQ16</f>
        <v>1627.4883333333335</v>
      </c>
    </row>
    <row r="96" spans="2:10" ht="15.75" thickBot="1" x14ac:dyDescent="0.3">
      <c r="B96" s="560" t="s">
        <v>19</v>
      </c>
      <c r="C96" s="587"/>
      <c r="D96" s="587"/>
      <c r="E96" s="588"/>
      <c r="F96" s="587"/>
      <c r="G96" s="589"/>
      <c r="H96" s="590">
        <f>SUM(H82:H95)</f>
        <v>49543.934083333334</v>
      </c>
      <c r="I96" s="814">
        <f>+AQ17</f>
        <v>49543.934083333334</v>
      </c>
      <c r="J96" s="795">
        <f>+H96-I96</f>
        <v>0</v>
      </c>
    </row>
    <row r="97" spans="5:8" ht="15.75" thickBot="1" x14ac:dyDescent="0.3">
      <c r="E97" s="31" t="s">
        <v>619</v>
      </c>
      <c r="H97" s="689">
        <f>+J50</f>
        <v>49543.993430000002</v>
      </c>
    </row>
    <row r="98" spans="5:8" x14ac:dyDescent="0.25">
      <c r="H98" s="815">
        <f>+H96-H97</f>
        <v>-5.9346666668716352E-2</v>
      </c>
    </row>
  </sheetData>
  <protectedRanges>
    <protectedRange sqref="H42:N49" name="Rango1"/>
    <protectedRange sqref="AT17:AU17" name="Rango1_1"/>
    <protectedRange sqref="AQ20:AQ21" name="Rango1_2"/>
    <protectedRange sqref="B52 B53:F58" name="Rango1_5"/>
    <protectedRange sqref="B43:G47" name="Rango1_3"/>
    <protectedRange sqref="B48:G50" name="Rango1_4"/>
    <protectedRange sqref="BB4" name="Rango1_6"/>
    <protectedRange sqref="BA4" name="Rango1_7"/>
    <protectedRange sqref="H97" name="Rango1_3_1"/>
  </protectedRanges>
  <mergeCells count="24">
    <mergeCell ref="H66:H67"/>
    <mergeCell ref="B79:H79"/>
    <mergeCell ref="B80:B81"/>
    <mergeCell ref="C80:C81"/>
    <mergeCell ref="D80:D81"/>
    <mergeCell ref="E80:E81"/>
    <mergeCell ref="F80:G80"/>
    <mergeCell ref="H80:H81"/>
    <mergeCell ref="B66:B67"/>
    <mergeCell ref="C66:C67"/>
    <mergeCell ref="D66:D67"/>
    <mergeCell ref="E66:E67"/>
    <mergeCell ref="F66:G66"/>
    <mergeCell ref="AV1:AV2"/>
    <mergeCell ref="BA2:BD2"/>
    <mergeCell ref="B41:G41"/>
    <mergeCell ref="B52:G52"/>
    <mergeCell ref="B65:H65"/>
    <mergeCell ref="B1:J1"/>
    <mergeCell ref="K1:O1"/>
    <mergeCell ref="V1:AQ1"/>
    <mergeCell ref="AS1:AS2"/>
    <mergeCell ref="AT1:AT2"/>
    <mergeCell ref="AU1:AU2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D98"/>
  <sheetViews>
    <sheetView topLeftCell="A52" workbookViewId="0">
      <selection activeCell="B65" sqref="B65:H76"/>
    </sheetView>
  </sheetViews>
  <sheetFormatPr baseColWidth="10" defaultColWidth="9.140625" defaultRowHeight="15" x14ac:dyDescent="0.25"/>
  <cols>
    <col min="1" max="1" width="1.5703125" customWidth="1"/>
    <col min="2" max="2" width="27.7109375" style="479" customWidth="1"/>
    <col min="3" max="3" width="25" style="31" customWidth="1"/>
    <col min="4" max="4" width="12.28515625" style="31" customWidth="1"/>
    <col min="5" max="5" width="10.42578125" customWidth="1"/>
    <col min="6" max="6" width="10.28515625" style="31" customWidth="1"/>
    <col min="7" max="7" width="10.140625" style="31" customWidth="1"/>
    <col min="8" max="8" width="8.85546875" style="31" customWidth="1"/>
    <col min="9" max="9" width="6.42578125" style="472" customWidth="1"/>
    <col min="10" max="10" width="14.42578125" style="31" customWidth="1"/>
    <col min="11" max="15" width="0.140625" style="31" customWidth="1"/>
    <col min="16" max="16" width="19.5703125" hidden="1" customWidth="1"/>
    <col min="17" max="17" width="20.5703125" hidden="1" customWidth="1"/>
    <col min="18" max="18" width="17" hidden="1" customWidth="1"/>
    <col min="19" max="20" width="13.85546875" hidden="1" customWidth="1"/>
    <col min="21" max="21" width="7.7109375" hidden="1" customWidth="1"/>
    <col min="22" max="22" width="0.140625" customWidth="1"/>
    <col min="23" max="24" width="0.140625" hidden="1" customWidth="1"/>
    <col min="25" max="25" width="0.28515625" hidden="1" customWidth="1"/>
    <col min="26" max="26" width="0.140625" hidden="1" customWidth="1"/>
    <col min="27" max="27" width="1" hidden="1" customWidth="1"/>
    <col min="28" max="28" width="0.85546875" customWidth="1"/>
    <col min="29" max="29" width="1.85546875" hidden="1" customWidth="1"/>
    <col min="30" max="30" width="0.85546875" hidden="1" customWidth="1"/>
    <col min="31" max="31" width="9.85546875" customWidth="1"/>
    <col min="32" max="32" width="13.85546875" bestFit="1" customWidth="1"/>
    <col min="33" max="33" width="9.42578125" bestFit="1" customWidth="1"/>
    <col min="34" max="35" width="8.42578125" bestFit="1" customWidth="1"/>
    <col min="36" max="41" width="8.7109375" customWidth="1"/>
    <col min="42" max="42" width="8.7109375" hidden="1" customWidth="1"/>
    <col min="43" max="43" width="11.5703125" customWidth="1"/>
    <col min="44" max="44" width="10.42578125" customWidth="1"/>
    <col min="45" max="45" width="7.42578125" customWidth="1"/>
    <col min="46" max="46" width="10.5703125" customWidth="1"/>
    <col min="47" max="47" width="9.7109375" customWidth="1"/>
    <col min="48" max="48" width="13.5703125" bestFit="1" customWidth="1"/>
    <col min="49" max="49" width="15.5703125" customWidth="1"/>
    <col min="50" max="50" width="11.42578125" bestFit="1" customWidth="1"/>
    <col min="53" max="53" width="42.7109375" customWidth="1"/>
    <col min="54" max="54" width="23.42578125" customWidth="1"/>
    <col min="55" max="55" width="22.5703125" customWidth="1"/>
    <col min="56" max="56" width="15.7109375" customWidth="1"/>
  </cols>
  <sheetData>
    <row r="1" spans="2:56" ht="15.75" thickBot="1" x14ac:dyDescent="0.3">
      <c r="B1" s="1004" t="s">
        <v>355</v>
      </c>
      <c r="C1" s="1005"/>
      <c r="D1" s="1005"/>
      <c r="E1" s="1005"/>
      <c r="F1" s="1005"/>
      <c r="G1" s="1005"/>
      <c r="H1" s="1005"/>
      <c r="I1" s="1005"/>
      <c r="J1" s="1006"/>
      <c r="K1" s="1007" t="s">
        <v>356</v>
      </c>
      <c r="L1" s="1008"/>
      <c r="M1" s="1008"/>
      <c r="N1" s="1008"/>
      <c r="O1" s="1009"/>
      <c r="P1" s="407"/>
      <c r="Q1" s="407"/>
      <c r="R1" s="407"/>
      <c r="S1" s="407"/>
      <c r="T1" s="407"/>
      <c r="U1" s="407"/>
      <c r="V1" s="1010" t="s">
        <v>357</v>
      </c>
      <c r="W1" s="1010"/>
      <c r="X1" s="1010"/>
      <c r="Y1" s="1010"/>
      <c r="Z1" s="1010"/>
      <c r="AA1" s="1010"/>
      <c r="AB1" s="1010"/>
      <c r="AC1" s="1010"/>
      <c r="AD1" s="1010"/>
      <c r="AE1" s="1010"/>
      <c r="AF1" s="1010"/>
      <c r="AG1" s="1010"/>
      <c r="AH1" s="1010"/>
      <c r="AI1" s="1010"/>
      <c r="AJ1" s="1021"/>
      <c r="AK1" s="1021"/>
      <c r="AL1" s="1021"/>
      <c r="AM1" s="1021"/>
      <c r="AN1" s="1021"/>
      <c r="AO1" s="1021"/>
      <c r="AP1" s="1021"/>
      <c r="AQ1" s="1021"/>
      <c r="AR1" s="721"/>
      <c r="AS1" s="1011" t="s">
        <v>627</v>
      </c>
      <c r="AT1" s="1011" t="s">
        <v>628</v>
      </c>
      <c r="AU1" s="1011" t="s">
        <v>347</v>
      </c>
      <c r="AV1" s="1013" t="s">
        <v>329</v>
      </c>
      <c r="AW1" t="s">
        <v>629</v>
      </c>
    </row>
    <row r="2" spans="2:56" ht="41.25" thickBot="1" x14ac:dyDescent="0.4">
      <c r="B2" s="436" t="s">
        <v>123</v>
      </c>
      <c r="C2" s="62" t="s">
        <v>124</v>
      </c>
      <c r="D2" s="62" t="s">
        <v>125</v>
      </c>
      <c r="E2" s="355" t="s">
        <v>133</v>
      </c>
      <c r="F2" s="355" t="s">
        <v>358</v>
      </c>
      <c r="G2" s="62" t="s">
        <v>359</v>
      </c>
      <c r="H2" s="355" t="s">
        <v>126</v>
      </c>
      <c r="I2" s="437" t="s">
        <v>360</v>
      </c>
      <c r="J2" s="437" t="s">
        <v>361</v>
      </c>
      <c r="K2" s="438">
        <v>45292</v>
      </c>
      <c r="L2" s="438">
        <v>45323</v>
      </c>
      <c r="M2" s="438">
        <v>45352</v>
      </c>
      <c r="N2" s="438">
        <v>45383</v>
      </c>
      <c r="O2" s="438">
        <v>45413</v>
      </c>
      <c r="Q2" t="s">
        <v>594</v>
      </c>
      <c r="R2" t="s">
        <v>595</v>
      </c>
      <c r="V2" s="591">
        <v>45017</v>
      </c>
      <c r="W2" s="439">
        <v>45047</v>
      </c>
      <c r="X2" s="439">
        <v>45078</v>
      </c>
      <c r="Y2" s="439">
        <v>45108</v>
      </c>
      <c r="Z2" s="439">
        <v>45139</v>
      </c>
      <c r="AA2" s="439">
        <v>45170</v>
      </c>
      <c r="AB2" s="439">
        <v>45200</v>
      </c>
      <c r="AC2" s="439">
        <v>45231</v>
      </c>
      <c r="AD2" s="439">
        <v>45261</v>
      </c>
      <c r="AE2" s="440">
        <v>45292</v>
      </c>
      <c r="AF2" s="440">
        <v>45323</v>
      </c>
      <c r="AG2" s="440">
        <v>45352</v>
      </c>
      <c r="AH2" s="440">
        <v>45383</v>
      </c>
      <c r="AI2" s="441">
        <v>45413</v>
      </c>
      <c r="AJ2" s="441">
        <v>45444</v>
      </c>
      <c r="AK2" s="441">
        <v>45474</v>
      </c>
      <c r="AL2" s="441">
        <v>45505</v>
      </c>
      <c r="AM2" s="441">
        <v>45536</v>
      </c>
      <c r="AN2" s="441">
        <v>45566</v>
      </c>
      <c r="AO2" s="441">
        <v>45597</v>
      </c>
      <c r="AP2" s="441">
        <v>45627</v>
      </c>
      <c r="AQ2" s="441" t="s">
        <v>362</v>
      </c>
      <c r="AR2" s="442" t="s">
        <v>19</v>
      </c>
      <c r="AS2" s="1022"/>
      <c r="AT2" s="1022"/>
      <c r="AU2" s="1022"/>
      <c r="AV2" s="1014"/>
      <c r="BA2" s="1023" t="s">
        <v>630</v>
      </c>
      <c r="BB2" s="1023"/>
      <c r="BC2" s="1023"/>
      <c r="BD2" s="1023"/>
    </row>
    <row r="3" spans="2:56" ht="30.75" thickBot="1" x14ac:dyDescent="0.3">
      <c r="B3" s="722" t="s">
        <v>127</v>
      </c>
      <c r="C3" s="723" t="s">
        <v>128</v>
      </c>
      <c r="D3" s="723" t="s">
        <v>129</v>
      </c>
      <c r="E3" s="443">
        <v>14168.793</v>
      </c>
      <c r="F3" s="444">
        <v>44927</v>
      </c>
      <c r="G3" s="858">
        <v>45291</v>
      </c>
      <c r="H3" s="444" t="s">
        <v>363</v>
      </c>
      <c r="I3" s="446">
        <v>12</v>
      </c>
      <c r="J3" s="443">
        <f>E3/I3</f>
        <v>1180.7327499999999</v>
      </c>
      <c r="K3" s="447">
        <v>1180.7327499999999</v>
      </c>
      <c r="L3" s="447">
        <v>2361.4699999999998</v>
      </c>
      <c r="M3" s="447">
        <v>3542.2</v>
      </c>
      <c r="N3" s="447">
        <v>3542.2</v>
      </c>
      <c r="O3" s="448">
        <f t="shared" ref="O3:O11" si="0">+R3</f>
        <v>3542.1982499999999</v>
      </c>
      <c r="P3" t="s">
        <v>333</v>
      </c>
      <c r="Q3" s="859">
        <v>3542198.25</v>
      </c>
      <c r="R3" s="860">
        <f>+Q3/1000</f>
        <v>3542.1982499999999</v>
      </c>
      <c r="U3" s="594"/>
      <c r="V3" s="725">
        <v>1180.73</v>
      </c>
      <c r="W3" s="725">
        <v>1180.73</v>
      </c>
      <c r="X3" s="725">
        <v>1180.73</v>
      </c>
      <c r="Y3" s="725">
        <v>1180.73</v>
      </c>
      <c r="Z3" s="725">
        <v>1180.73</v>
      </c>
      <c r="AA3" s="725">
        <v>1180.73</v>
      </c>
      <c r="AB3" s="725">
        <v>1180.73</v>
      </c>
      <c r="AC3" s="725">
        <v>1180.73</v>
      </c>
      <c r="AD3" s="725">
        <v>1180.73</v>
      </c>
      <c r="AE3" s="861">
        <v>1180.73</v>
      </c>
      <c r="AF3" s="861">
        <v>1180.74</v>
      </c>
      <c r="AG3" s="861">
        <v>1180.73</v>
      </c>
      <c r="AH3" s="862">
        <v>0</v>
      </c>
      <c r="AI3" s="862">
        <v>0</v>
      </c>
      <c r="AJ3" s="862"/>
      <c r="AK3" s="451"/>
      <c r="AL3" s="451"/>
      <c r="AM3" s="451"/>
      <c r="AN3" s="451"/>
      <c r="AO3" s="451"/>
      <c r="AP3" s="451"/>
      <c r="AQ3" s="863">
        <f>SUM(AE3:AP3)</f>
        <v>3542.2000000000003</v>
      </c>
      <c r="AR3" s="861">
        <f>V3+W3+X3+Y3+Z3+AA3+AB3+AC3+AD3+AE3+AF3+AG3+AH3+AI3</f>
        <v>14168.769999999997</v>
      </c>
      <c r="AS3" s="864">
        <f>+E3-AR3</f>
        <v>2.3000000002866727E-2</v>
      </c>
      <c r="AT3" s="865"/>
      <c r="AU3" s="865"/>
      <c r="AV3" s="597" t="s">
        <v>364</v>
      </c>
      <c r="AW3" s="865" t="s">
        <v>333</v>
      </c>
      <c r="BA3" s="866" t="s">
        <v>597</v>
      </c>
      <c r="BB3" s="867" t="s">
        <v>598</v>
      </c>
      <c r="BC3" s="868">
        <v>463396.35666666797</v>
      </c>
    </row>
    <row r="4" spans="2:56" x14ac:dyDescent="0.25">
      <c r="B4" s="729" t="s">
        <v>127</v>
      </c>
      <c r="C4" s="730" t="s">
        <v>128</v>
      </c>
      <c r="D4" s="730" t="s">
        <v>129</v>
      </c>
      <c r="E4" s="443">
        <v>16018.947</v>
      </c>
      <c r="F4" s="444">
        <v>45292</v>
      </c>
      <c r="G4" s="463">
        <v>45657</v>
      </c>
      <c r="H4" s="444">
        <v>45406</v>
      </c>
      <c r="I4" s="452">
        <v>12</v>
      </c>
      <c r="J4" s="443">
        <f t="shared" ref="J4:J14" si="1">E4/I4</f>
        <v>1334.9122500000001</v>
      </c>
      <c r="K4" s="447">
        <v>0</v>
      </c>
      <c r="L4" s="447">
        <v>0</v>
      </c>
      <c r="M4" s="447">
        <v>0</v>
      </c>
      <c r="N4" s="447">
        <v>1334.91</v>
      </c>
      <c r="O4" s="731">
        <f>+R4</f>
        <v>2669.8245000000002</v>
      </c>
      <c r="P4" t="s">
        <v>366</v>
      </c>
      <c r="Q4" s="859">
        <v>2669824.5</v>
      </c>
      <c r="R4" s="860">
        <f>+Q4/1000</f>
        <v>2669.8245000000002</v>
      </c>
      <c r="U4" s="594"/>
      <c r="V4" s="732">
        <v>0</v>
      </c>
      <c r="W4" s="732">
        <v>0</v>
      </c>
      <c r="X4" s="732">
        <v>0</v>
      </c>
      <c r="Y4" s="732">
        <v>0</v>
      </c>
      <c r="Z4" s="732">
        <v>0</v>
      </c>
      <c r="AA4" s="732">
        <v>0</v>
      </c>
      <c r="AB4" s="732">
        <v>0</v>
      </c>
      <c r="AC4" s="732">
        <v>0</v>
      </c>
      <c r="AD4" s="732">
        <v>0</v>
      </c>
      <c r="AE4" s="869">
        <v>0</v>
      </c>
      <c r="AF4" s="869">
        <v>0</v>
      </c>
      <c r="AG4" s="869">
        <v>0</v>
      </c>
      <c r="AH4" s="870">
        <v>1334.9122500000001</v>
      </c>
      <c r="AI4" s="870">
        <v>1334.91</v>
      </c>
      <c r="AJ4" s="870">
        <v>1334.91</v>
      </c>
      <c r="AK4" s="871">
        <v>1334.91</v>
      </c>
      <c r="AL4" s="455">
        <f>+AK4</f>
        <v>1334.91</v>
      </c>
      <c r="AM4" s="455">
        <f>+AK4</f>
        <v>1334.91</v>
      </c>
      <c r="AN4" s="455">
        <f>+AL4</f>
        <v>1334.91</v>
      </c>
      <c r="AO4" s="455">
        <f>+AN4</f>
        <v>1334.91</v>
      </c>
      <c r="AP4" s="455"/>
      <c r="AQ4" s="872">
        <f t="shared" ref="AQ4:AQ16" si="2">SUM(AE4:AP4)</f>
        <v>10679.28225</v>
      </c>
      <c r="AR4" s="873">
        <f>+AH4+AI4+AJ4+AK4+AL4+AM4+AN4+AO4</f>
        <v>10679.28225</v>
      </c>
      <c r="AS4" s="874">
        <f>E4-AR4</f>
        <v>5339.6647499999999</v>
      </c>
      <c r="AT4" s="875"/>
      <c r="AU4" s="875"/>
      <c r="AV4" s="738" t="s">
        <v>365</v>
      </c>
      <c r="AW4" s="865" t="s">
        <v>366</v>
      </c>
      <c r="BA4" t="s">
        <v>599</v>
      </c>
      <c r="BB4" s="739" t="s">
        <v>600</v>
      </c>
      <c r="BD4" s="868">
        <f>+BC3</f>
        <v>463396.35666666797</v>
      </c>
    </row>
    <row r="5" spans="2:56" ht="26.25" x14ac:dyDescent="0.25">
      <c r="B5" s="456" t="s">
        <v>132</v>
      </c>
      <c r="C5" s="876" t="s">
        <v>130</v>
      </c>
      <c r="D5" s="876" t="s">
        <v>131</v>
      </c>
      <c r="E5" s="443">
        <v>425.35</v>
      </c>
      <c r="F5" s="877">
        <v>45093</v>
      </c>
      <c r="G5" s="877">
        <v>45241</v>
      </c>
      <c r="H5" s="877">
        <v>45167</v>
      </c>
      <c r="I5" s="452">
        <v>6</v>
      </c>
      <c r="J5" s="443">
        <f>E5/I5</f>
        <v>70.891666666666666</v>
      </c>
      <c r="K5" s="447">
        <v>70.89</v>
      </c>
      <c r="L5" s="447">
        <v>141.78</v>
      </c>
      <c r="M5" s="459">
        <v>141.78</v>
      </c>
      <c r="N5" s="459">
        <v>141.78</v>
      </c>
      <c r="O5" s="460">
        <v>141.78</v>
      </c>
      <c r="Q5" s="859"/>
      <c r="R5" s="860"/>
      <c r="U5" s="594"/>
      <c r="V5" s="732">
        <v>0</v>
      </c>
      <c r="W5" s="732">
        <v>0</v>
      </c>
      <c r="X5" s="732">
        <v>0</v>
      </c>
      <c r="Y5" s="732">
        <v>0</v>
      </c>
      <c r="Z5" s="732">
        <v>70.900000000000006</v>
      </c>
      <c r="AA5" s="732">
        <v>0</v>
      </c>
      <c r="AB5" s="732">
        <v>70.89</v>
      </c>
      <c r="AC5" s="732">
        <v>70.89</v>
      </c>
      <c r="AD5" s="732">
        <v>70.89</v>
      </c>
      <c r="AE5" s="869">
        <v>70.89</v>
      </c>
      <c r="AF5" s="869">
        <v>70.89</v>
      </c>
      <c r="AG5" s="878">
        <v>0</v>
      </c>
      <c r="AH5" s="870">
        <v>0</v>
      </c>
      <c r="AI5" s="870">
        <v>0</v>
      </c>
      <c r="AJ5" s="870"/>
      <c r="AK5" s="740"/>
      <c r="AL5" s="455"/>
      <c r="AM5" s="455"/>
      <c r="AN5" s="455"/>
      <c r="AO5" s="455"/>
      <c r="AP5" s="455"/>
      <c r="AQ5" s="863">
        <f t="shared" si="2"/>
        <v>141.78</v>
      </c>
      <c r="AR5" s="861">
        <f t="shared" ref="AR5:AR10" si="3">V5+W5+X5+Y5+Z5+AA5+AB5+AC5+AD5+AE5+AF5+AG5+AH5+AI5</f>
        <v>425.34999999999997</v>
      </c>
      <c r="AS5" s="864">
        <f t="shared" ref="AS5:AS9" si="4">E5-AR5</f>
        <v>0</v>
      </c>
      <c r="AT5" s="865"/>
      <c r="AU5" s="865"/>
      <c r="AV5" s="741" t="s">
        <v>631</v>
      </c>
      <c r="AW5" s="879" t="s">
        <v>340</v>
      </c>
    </row>
    <row r="6" spans="2:56" x14ac:dyDescent="0.25">
      <c r="B6" s="880" t="s">
        <v>279</v>
      </c>
      <c r="C6" s="876" t="s">
        <v>130</v>
      </c>
      <c r="D6" s="876" t="s">
        <v>131</v>
      </c>
      <c r="E6" s="443">
        <v>9303.7029999999995</v>
      </c>
      <c r="F6" s="877">
        <v>45241</v>
      </c>
      <c r="G6" s="463">
        <v>45607</v>
      </c>
      <c r="H6" s="877">
        <v>45237</v>
      </c>
      <c r="I6" s="452">
        <v>6</v>
      </c>
      <c r="J6" s="443">
        <f t="shared" si="1"/>
        <v>1550.6171666666667</v>
      </c>
      <c r="K6" s="447">
        <v>1550.62</v>
      </c>
      <c r="L6" s="447">
        <v>3101.23</v>
      </c>
      <c r="M6" s="447">
        <v>4651.8500000000004</v>
      </c>
      <c r="N6" s="447">
        <v>6202.47</v>
      </c>
      <c r="O6" s="448">
        <f t="shared" si="0"/>
        <v>6202.4686666666666</v>
      </c>
      <c r="P6" s="616" t="s">
        <v>334</v>
      </c>
      <c r="Q6" s="859">
        <v>6202468.666666667</v>
      </c>
      <c r="R6" s="881">
        <f t="shared" ref="R6:R10" si="5">+Q6/1000</f>
        <v>6202.4686666666666</v>
      </c>
      <c r="V6" s="725">
        <v>0</v>
      </c>
      <c r="W6" s="725">
        <v>0</v>
      </c>
      <c r="X6" s="725">
        <v>0</v>
      </c>
      <c r="Y6" s="725">
        <v>0</v>
      </c>
      <c r="Z6" s="725">
        <v>0</v>
      </c>
      <c r="AA6" s="725">
        <v>0</v>
      </c>
      <c r="AB6" s="725">
        <v>0</v>
      </c>
      <c r="AC6" s="725">
        <v>1550.6171666666667</v>
      </c>
      <c r="AD6" s="725">
        <v>1550.6171666666667</v>
      </c>
      <c r="AE6" s="861">
        <v>1550.6171666666667</v>
      </c>
      <c r="AF6" s="861">
        <v>1550.6171666666667</v>
      </c>
      <c r="AG6" s="861">
        <v>1550.6171666666667</v>
      </c>
      <c r="AH6" s="862">
        <v>1550.6171666666667</v>
      </c>
      <c r="AI6" s="862">
        <v>0</v>
      </c>
      <c r="AJ6" s="862"/>
      <c r="AK6" s="451"/>
      <c r="AL6" s="451"/>
      <c r="AM6" s="451"/>
      <c r="AN6" s="451"/>
      <c r="AO6" s="451"/>
      <c r="AP6" s="451"/>
      <c r="AQ6" s="863">
        <f t="shared" si="2"/>
        <v>6202.4686666666666</v>
      </c>
      <c r="AR6" s="861">
        <f t="shared" si="3"/>
        <v>9303.7029999999995</v>
      </c>
      <c r="AS6" s="864">
        <f t="shared" si="4"/>
        <v>0</v>
      </c>
      <c r="AT6" s="865"/>
      <c r="AU6" s="865"/>
      <c r="AV6" s="597" t="s">
        <v>367</v>
      </c>
      <c r="AW6" s="882" t="s">
        <v>334</v>
      </c>
      <c r="BA6" t="s">
        <v>632</v>
      </c>
    </row>
    <row r="7" spans="2:56" x14ac:dyDescent="0.25">
      <c r="B7" s="883" t="s">
        <v>280</v>
      </c>
      <c r="C7" s="876" t="s">
        <v>130</v>
      </c>
      <c r="D7" s="876" t="s">
        <v>131</v>
      </c>
      <c r="E7" s="443">
        <v>703.30200000000002</v>
      </c>
      <c r="F7" s="877">
        <v>45241</v>
      </c>
      <c r="G7" s="463">
        <v>45423</v>
      </c>
      <c r="H7" s="877">
        <v>45237</v>
      </c>
      <c r="I7" s="452">
        <v>6</v>
      </c>
      <c r="J7" s="443">
        <f>E7/I7</f>
        <v>117.217</v>
      </c>
      <c r="K7" s="447">
        <v>117.22</v>
      </c>
      <c r="L7" s="447">
        <v>234.43</v>
      </c>
      <c r="M7" s="447">
        <v>351.65</v>
      </c>
      <c r="N7" s="447">
        <v>468.87</v>
      </c>
      <c r="O7" s="448">
        <f t="shared" si="0"/>
        <v>468.86799999999999</v>
      </c>
      <c r="P7" s="616" t="s">
        <v>335</v>
      </c>
      <c r="Q7" s="884">
        <v>468868</v>
      </c>
      <c r="R7" s="881">
        <f t="shared" si="5"/>
        <v>468.86799999999999</v>
      </c>
      <c r="V7" s="725">
        <v>0</v>
      </c>
      <c r="W7" s="725">
        <v>0</v>
      </c>
      <c r="X7" s="725">
        <v>0</v>
      </c>
      <c r="Y7" s="725">
        <v>0</v>
      </c>
      <c r="Z7" s="725">
        <v>0</v>
      </c>
      <c r="AA7" s="725">
        <v>0</v>
      </c>
      <c r="AB7" s="725">
        <v>0</v>
      </c>
      <c r="AC7" s="725">
        <v>117.217</v>
      </c>
      <c r="AD7" s="725">
        <v>117.217</v>
      </c>
      <c r="AE7" s="861">
        <v>117.217</v>
      </c>
      <c r="AF7" s="861">
        <v>117.217</v>
      </c>
      <c r="AG7" s="861">
        <v>117.217</v>
      </c>
      <c r="AH7" s="862">
        <v>117.217</v>
      </c>
      <c r="AI7" s="862">
        <v>0</v>
      </c>
      <c r="AJ7" s="862"/>
      <c r="AK7" s="451"/>
      <c r="AL7" s="451"/>
      <c r="AM7" s="451"/>
      <c r="AN7" s="451"/>
      <c r="AO7" s="451"/>
      <c r="AP7" s="451"/>
      <c r="AQ7" s="885">
        <f t="shared" si="2"/>
        <v>468.86799999999999</v>
      </c>
      <c r="AR7" s="886">
        <f t="shared" si="3"/>
        <v>703.30200000000002</v>
      </c>
      <c r="AS7" s="864">
        <f t="shared" si="4"/>
        <v>0</v>
      </c>
      <c r="AT7" s="865"/>
      <c r="AU7" s="865"/>
      <c r="AV7" s="597" t="s">
        <v>367</v>
      </c>
      <c r="AW7" s="882" t="s">
        <v>335</v>
      </c>
    </row>
    <row r="8" spans="2:56" x14ac:dyDescent="0.25">
      <c r="B8" s="464" t="s">
        <v>282</v>
      </c>
      <c r="C8" s="465" t="s">
        <v>130</v>
      </c>
      <c r="D8" s="876" t="s">
        <v>131</v>
      </c>
      <c r="E8" s="443">
        <v>3329.9340000000002</v>
      </c>
      <c r="F8" s="877">
        <v>45241</v>
      </c>
      <c r="G8" s="466">
        <v>45423</v>
      </c>
      <c r="H8" s="467">
        <v>45286</v>
      </c>
      <c r="I8" s="452">
        <v>6</v>
      </c>
      <c r="J8" s="443">
        <f t="shared" si="1"/>
        <v>554.98900000000003</v>
      </c>
      <c r="K8" s="887">
        <v>0</v>
      </c>
      <c r="L8" s="459">
        <v>1109.98</v>
      </c>
      <c r="M8" s="459">
        <v>1664.97</v>
      </c>
      <c r="N8" s="459">
        <v>2219.96</v>
      </c>
      <c r="O8" s="469">
        <f t="shared" si="0"/>
        <v>2774.9450000000002</v>
      </c>
      <c r="P8" s="620" t="s">
        <v>336</v>
      </c>
      <c r="Q8" s="859">
        <v>2774945</v>
      </c>
      <c r="R8" s="881">
        <f t="shared" si="5"/>
        <v>2774.9450000000002</v>
      </c>
      <c r="V8" s="725">
        <v>0</v>
      </c>
      <c r="W8" s="725">
        <v>0</v>
      </c>
      <c r="X8" s="725">
        <v>0</v>
      </c>
      <c r="Y8" s="725">
        <v>0</v>
      </c>
      <c r="Z8" s="725">
        <v>0</v>
      </c>
      <c r="AA8" s="725">
        <v>0</v>
      </c>
      <c r="AB8" s="725"/>
      <c r="AC8" s="725">
        <v>0</v>
      </c>
      <c r="AD8" s="725">
        <v>554.98900000000003</v>
      </c>
      <c r="AE8" s="861">
        <v>554.98900000000003</v>
      </c>
      <c r="AF8" s="861">
        <v>554.98900000000003</v>
      </c>
      <c r="AG8" s="861">
        <v>554.98900000000003</v>
      </c>
      <c r="AH8" s="862">
        <v>554.98900000000003</v>
      </c>
      <c r="AI8" s="862">
        <v>554.98900000000003</v>
      </c>
      <c r="AJ8" s="862">
        <v>554.98900000000003</v>
      </c>
      <c r="AK8" s="451"/>
      <c r="AL8" s="451"/>
      <c r="AM8" s="451"/>
      <c r="AN8" s="451"/>
      <c r="AO8" s="451"/>
      <c r="AP8" s="451"/>
      <c r="AQ8" s="885">
        <f t="shared" si="2"/>
        <v>3329.9340000000002</v>
      </c>
      <c r="AR8" s="886">
        <f t="shared" si="3"/>
        <v>3329.9340000000002</v>
      </c>
      <c r="AS8" s="864">
        <f t="shared" si="4"/>
        <v>0</v>
      </c>
      <c r="AT8" s="865"/>
      <c r="AU8" s="865"/>
      <c r="AV8" s="597" t="s">
        <v>368</v>
      </c>
      <c r="AW8" s="879" t="s">
        <v>336</v>
      </c>
    </row>
    <row r="9" spans="2:56" x14ac:dyDescent="0.25">
      <c r="B9" s="883" t="s">
        <v>281</v>
      </c>
      <c r="C9" s="876" t="s">
        <v>130</v>
      </c>
      <c r="D9" s="876" t="s">
        <v>131</v>
      </c>
      <c r="E9" s="443">
        <v>722.42100000000005</v>
      </c>
      <c r="F9" s="877">
        <v>45241</v>
      </c>
      <c r="G9" s="877">
        <v>45417</v>
      </c>
      <c r="H9" s="877">
        <v>45237</v>
      </c>
      <c r="I9" s="452">
        <v>6</v>
      </c>
      <c r="J9" s="443">
        <f t="shared" si="1"/>
        <v>120.40350000000001</v>
      </c>
      <c r="K9" s="887">
        <v>120.4</v>
      </c>
      <c r="L9" s="447">
        <v>240.81</v>
      </c>
      <c r="M9" s="447">
        <v>361.21</v>
      </c>
      <c r="N9" s="447">
        <v>481.61</v>
      </c>
      <c r="O9" s="888">
        <f t="shared" si="0"/>
        <v>481.61399999999998</v>
      </c>
      <c r="P9" s="616" t="s">
        <v>337</v>
      </c>
      <c r="Q9" s="859">
        <v>481614</v>
      </c>
      <c r="R9" s="881">
        <f t="shared" si="5"/>
        <v>481.61399999999998</v>
      </c>
      <c r="V9" s="725">
        <v>0</v>
      </c>
      <c r="W9" s="725">
        <v>0</v>
      </c>
      <c r="X9" s="725">
        <v>0</v>
      </c>
      <c r="Y9" s="725">
        <v>0</v>
      </c>
      <c r="Z9" s="725">
        <v>0</v>
      </c>
      <c r="AA9" s="725">
        <v>0</v>
      </c>
      <c r="AB9" s="725">
        <v>0</v>
      </c>
      <c r="AC9" s="725">
        <v>120.40350000000001</v>
      </c>
      <c r="AD9" s="725">
        <v>120.40350000000001</v>
      </c>
      <c r="AE9" s="861">
        <v>120.40350000000001</v>
      </c>
      <c r="AF9" s="861">
        <v>120.40350000000001</v>
      </c>
      <c r="AG9" s="861">
        <v>120.40350000000001</v>
      </c>
      <c r="AH9" s="862">
        <v>120.40350000000001</v>
      </c>
      <c r="AI9" s="862">
        <v>0</v>
      </c>
      <c r="AJ9" s="862"/>
      <c r="AK9" s="451"/>
      <c r="AL9" s="451"/>
      <c r="AM9" s="451"/>
      <c r="AN9" s="451"/>
      <c r="AO9" s="451"/>
      <c r="AP9" s="451"/>
      <c r="AQ9" s="885">
        <f t="shared" si="2"/>
        <v>481.61400000000003</v>
      </c>
      <c r="AR9" s="886">
        <f t="shared" si="3"/>
        <v>722.42100000000005</v>
      </c>
      <c r="AS9" s="864">
        <f t="shared" si="4"/>
        <v>0</v>
      </c>
      <c r="AT9" s="865"/>
      <c r="AU9" s="865"/>
      <c r="AV9" s="597" t="s">
        <v>367</v>
      </c>
      <c r="AW9" s="882" t="s">
        <v>337</v>
      </c>
    </row>
    <row r="10" spans="2:56" x14ac:dyDescent="0.25">
      <c r="B10" s="883" t="s">
        <v>282</v>
      </c>
      <c r="C10" s="876" t="s">
        <v>130</v>
      </c>
      <c r="D10" s="876" t="s">
        <v>131</v>
      </c>
      <c r="E10" s="443">
        <v>8885.8369999999995</v>
      </c>
      <c r="F10" s="877">
        <v>45241</v>
      </c>
      <c r="G10" s="877">
        <v>45423</v>
      </c>
      <c r="H10" s="877">
        <v>45275</v>
      </c>
      <c r="I10" s="452">
        <v>6</v>
      </c>
      <c r="J10" s="443">
        <f t="shared" si="1"/>
        <v>1480.9728333333333</v>
      </c>
      <c r="K10" s="447">
        <v>1480.97</v>
      </c>
      <c r="L10" s="447">
        <v>2961.95</v>
      </c>
      <c r="M10" s="447">
        <v>4442.92</v>
      </c>
      <c r="N10" s="447">
        <v>5923.89</v>
      </c>
      <c r="O10" s="888">
        <f t="shared" si="0"/>
        <v>7404.8641666666663</v>
      </c>
      <c r="P10" s="616" t="s">
        <v>338</v>
      </c>
      <c r="Q10" s="859">
        <v>7404864.166666666</v>
      </c>
      <c r="R10" s="881">
        <f t="shared" si="5"/>
        <v>7404.8641666666663</v>
      </c>
      <c r="V10" s="745">
        <v>0</v>
      </c>
      <c r="W10" s="745">
        <v>0</v>
      </c>
      <c r="X10" s="745">
        <v>0</v>
      </c>
      <c r="Y10" s="745">
        <v>0</v>
      </c>
      <c r="Z10" s="725">
        <v>0</v>
      </c>
      <c r="AA10" s="725">
        <v>0</v>
      </c>
      <c r="AB10" s="725">
        <v>0</v>
      </c>
      <c r="AC10" s="725">
        <v>0</v>
      </c>
      <c r="AD10" s="725">
        <v>1480.9728333333333</v>
      </c>
      <c r="AE10" s="861">
        <v>1480.9728333333333</v>
      </c>
      <c r="AF10" s="861">
        <v>1480.9728333333333</v>
      </c>
      <c r="AG10" s="861">
        <v>1480.9728333333333</v>
      </c>
      <c r="AH10" s="862">
        <v>1480.9728333333333</v>
      </c>
      <c r="AI10" s="862">
        <v>1480.9728333333333</v>
      </c>
      <c r="AJ10" s="862">
        <v>740.48641666666663</v>
      </c>
      <c r="AK10" s="451"/>
      <c r="AL10" s="451"/>
      <c r="AM10" s="451"/>
      <c r="AN10" s="451"/>
      <c r="AO10" s="451"/>
      <c r="AP10" s="451"/>
      <c r="AQ10" s="885">
        <f t="shared" si="2"/>
        <v>8145.3505833333329</v>
      </c>
      <c r="AR10" s="861">
        <f t="shared" si="3"/>
        <v>8885.8369999999995</v>
      </c>
      <c r="AS10" s="864">
        <v>0</v>
      </c>
      <c r="AT10" s="865"/>
      <c r="AU10" s="865"/>
      <c r="AV10" s="597" t="s">
        <v>369</v>
      </c>
      <c r="AW10" s="882" t="s">
        <v>338</v>
      </c>
    </row>
    <row r="11" spans="2:56" x14ac:dyDescent="0.25">
      <c r="B11" s="883" t="s">
        <v>283</v>
      </c>
      <c r="C11" s="876" t="s">
        <v>130</v>
      </c>
      <c r="D11" s="876" t="s">
        <v>131</v>
      </c>
      <c r="E11" s="443">
        <v>4850.9979999999996</v>
      </c>
      <c r="F11" s="877">
        <v>45241</v>
      </c>
      <c r="G11" s="877">
        <v>45423</v>
      </c>
      <c r="H11" s="877">
        <v>45275</v>
      </c>
      <c r="I11" s="452">
        <v>6</v>
      </c>
      <c r="J11" s="443">
        <f t="shared" si="1"/>
        <v>808.4996666666666</v>
      </c>
      <c r="K11" s="447">
        <v>808.5</v>
      </c>
      <c r="L11" s="447">
        <v>1617</v>
      </c>
      <c r="M11" s="447">
        <v>2425.5</v>
      </c>
      <c r="N11" s="447">
        <v>3234</v>
      </c>
      <c r="O11" s="888">
        <f t="shared" si="0"/>
        <v>4042.498333333333</v>
      </c>
      <c r="P11" s="616" t="s">
        <v>339</v>
      </c>
      <c r="Q11" s="859">
        <v>4042498.333333333</v>
      </c>
      <c r="R11" s="881">
        <f>+Q11/1000</f>
        <v>4042.498333333333</v>
      </c>
      <c r="V11" s="745">
        <v>0</v>
      </c>
      <c r="W11" s="745">
        <v>0</v>
      </c>
      <c r="X11" s="745">
        <v>0</v>
      </c>
      <c r="Y11" s="745">
        <v>0</v>
      </c>
      <c r="Z11" s="725">
        <v>0</v>
      </c>
      <c r="AA11" s="725">
        <v>0</v>
      </c>
      <c r="AB11" s="725">
        <v>0</v>
      </c>
      <c r="AC11" s="725">
        <v>0</v>
      </c>
      <c r="AD11" s="725">
        <v>404.25</v>
      </c>
      <c r="AE11" s="861">
        <v>808.5</v>
      </c>
      <c r="AF11" s="861">
        <v>808.5</v>
      </c>
      <c r="AG11" s="861">
        <v>808.5</v>
      </c>
      <c r="AH11" s="862">
        <v>808.5</v>
      </c>
      <c r="AI11" s="862">
        <v>808.5</v>
      </c>
      <c r="AJ11" s="862">
        <v>404.2498333333333</v>
      </c>
      <c r="AK11" s="451"/>
      <c r="AL11" s="451"/>
      <c r="AM11" s="451"/>
      <c r="AN11" s="451"/>
      <c r="AO11" s="451"/>
      <c r="AP11" s="451"/>
      <c r="AQ11" s="885">
        <f t="shared" si="2"/>
        <v>4446.7498333333333</v>
      </c>
      <c r="AR11" s="861">
        <f>V11+W11+X11+Y11+Z11+AA11+AB11+AC11+AD11+AE11+AF11+AG11+AH11+AI11+AJ11</f>
        <v>4850.9998333333333</v>
      </c>
      <c r="AS11" s="864">
        <f>E11-AR11</f>
        <v>-1.8333333337068325E-3</v>
      </c>
      <c r="AT11" s="865"/>
      <c r="AU11" s="865"/>
      <c r="AV11" s="597" t="s">
        <v>369</v>
      </c>
      <c r="AW11" s="865" t="s">
        <v>339</v>
      </c>
    </row>
    <row r="12" spans="2:56" x14ac:dyDescent="0.25">
      <c r="B12" s="883" t="s">
        <v>370</v>
      </c>
      <c r="C12" s="876" t="s">
        <v>130</v>
      </c>
      <c r="D12" s="876" t="s">
        <v>131</v>
      </c>
      <c r="E12" s="443">
        <v>4446.7470000000003</v>
      </c>
      <c r="F12" s="877">
        <v>45423</v>
      </c>
      <c r="G12" s="877">
        <v>45607</v>
      </c>
      <c r="H12" s="877">
        <v>45427</v>
      </c>
      <c r="I12" s="452">
        <v>6</v>
      </c>
      <c r="J12" s="443">
        <f t="shared" si="1"/>
        <v>741.12450000000001</v>
      </c>
      <c r="K12" s="447">
        <v>0</v>
      </c>
      <c r="L12" s="447">
        <v>0</v>
      </c>
      <c r="M12" s="447">
        <v>0</v>
      </c>
      <c r="N12" s="447">
        <v>0</v>
      </c>
      <c r="O12" s="889">
        <f>+R12</f>
        <v>370.56225000000001</v>
      </c>
      <c r="P12" s="890" t="s">
        <v>372</v>
      </c>
      <c r="Q12" s="868">
        <v>370562.25</v>
      </c>
      <c r="R12" s="860">
        <f>+Q12/1000</f>
        <v>370.56225000000001</v>
      </c>
      <c r="T12" s="129"/>
      <c r="U12" s="594"/>
      <c r="V12" s="745">
        <v>0</v>
      </c>
      <c r="W12" s="745">
        <v>0</v>
      </c>
      <c r="X12" s="745">
        <v>0</v>
      </c>
      <c r="Y12" s="745">
        <v>0</v>
      </c>
      <c r="Z12" s="725">
        <v>0</v>
      </c>
      <c r="AA12" s="745">
        <v>0</v>
      </c>
      <c r="AB12" s="745">
        <v>0</v>
      </c>
      <c r="AC12" s="745">
        <v>0</v>
      </c>
      <c r="AD12" s="745">
        <v>0</v>
      </c>
      <c r="AE12" s="861">
        <v>0</v>
      </c>
      <c r="AF12" s="861">
        <v>0</v>
      </c>
      <c r="AG12" s="861">
        <v>0</v>
      </c>
      <c r="AH12" s="862">
        <v>0</v>
      </c>
      <c r="AI12" s="862">
        <v>370.56</v>
      </c>
      <c r="AJ12" s="862">
        <v>741.12675000000013</v>
      </c>
      <c r="AK12" s="862">
        <v>741.12675000000013</v>
      </c>
      <c r="AL12" s="862">
        <v>741.12675000000013</v>
      </c>
      <c r="AM12" s="451">
        <f>+AL12</f>
        <v>741.12675000000013</v>
      </c>
      <c r="AN12" s="451">
        <f>+AM12</f>
        <v>741.12675000000013</v>
      </c>
      <c r="AO12" s="451">
        <v>370.56225000000001</v>
      </c>
      <c r="AP12" s="451"/>
      <c r="AQ12" s="872">
        <f t="shared" si="2"/>
        <v>4446.7560000000012</v>
      </c>
      <c r="AR12" s="873">
        <f>SUM(AE12:AP12)</f>
        <v>4446.7560000000012</v>
      </c>
      <c r="AS12" s="874">
        <f>E12-AR12</f>
        <v>-9.0000000009240466E-3</v>
      </c>
      <c r="AT12" s="875"/>
      <c r="AU12" s="875"/>
      <c r="AV12" s="738" t="s">
        <v>371</v>
      </c>
      <c r="AW12" s="890" t="s">
        <v>372</v>
      </c>
    </row>
    <row r="13" spans="2:56" x14ac:dyDescent="0.25">
      <c r="B13" s="883" t="s">
        <v>373</v>
      </c>
      <c r="C13" s="876" t="s">
        <v>130</v>
      </c>
      <c r="D13" s="876" t="s">
        <v>131</v>
      </c>
      <c r="E13" s="443">
        <v>662.21699999999998</v>
      </c>
      <c r="F13" s="877">
        <v>45423</v>
      </c>
      <c r="G13" s="877">
        <v>45607</v>
      </c>
      <c r="H13" s="877">
        <v>45427</v>
      </c>
      <c r="I13" s="452">
        <v>6</v>
      </c>
      <c r="J13" s="443">
        <f t="shared" si="1"/>
        <v>110.3695</v>
      </c>
      <c r="K13" s="447">
        <v>0</v>
      </c>
      <c r="L13" s="447">
        <v>0</v>
      </c>
      <c r="M13" s="447">
        <v>0</v>
      </c>
      <c r="N13" s="447">
        <v>0</v>
      </c>
      <c r="O13" s="889">
        <f>+R13</f>
        <v>55.184750000000001</v>
      </c>
      <c r="P13" s="879" t="s">
        <v>374</v>
      </c>
      <c r="Q13" s="868">
        <v>55184.75</v>
      </c>
      <c r="R13" s="860">
        <f>+Q13/1000</f>
        <v>55.184750000000001</v>
      </c>
      <c r="T13" s="129"/>
      <c r="U13" s="594"/>
      <c r="V13" s="745">
        <v>0</v>
      </c>
      <c r="W13" s="745">
        <v>0</v>
      </c>
      <c r="X13" s="745">
        <v>0</v>
      </c>
      <c r="Y13" s="745">
        <v>0</v>
      </c>
      <c r="Z13" s="725">
        <v>0</v>
      </c>
      <c r="AA13" s="745">
        <v>0</v>
      </c>
      <c r="AB13" s="745">
        <v>0</v>
      </c>
      <c r="AC13" s="745">
        <v>0</v>
      </c>
      <c r="AD13" s="745">
        <v>0</v>
      </c>
      <c r="AE13" s="861">
        <v>0</v>
      </c>
      <c r="AF13" s="861">
        <v>0</v>
      </c>
      <c r="AG13" s="861">
        <v>0</v>
      </c>
      <c r="AH13" s="862">
        <v>0</v>
      </c>
      <c r="AI13" s="862">
        <v>55.18</v>
      </c>
      <c r="AJ13" s="862">
        <v>110.3695</v>
      </c>
      <c r="AK13" s="862">
        <v>110.3695</v>
      </c>
      <c r="AL13" s="862">
        <v>110.3695</v>
      </c>
      <c r="AM13" s="451">
        <f>+AL13</f>
        <v>110.3695</v>
      </c>
      <c r="AN13" s="451">
        <v>110.3695</v>
      </c>
      <c r="AO13" s="451">
        <v>55.184750000000001</v>
      </c>
      <c r="AP13" s="451"/>
      <c r="AQ13" s="872">
        <f t="shared" si="2"/>
        <v>662.21225000000004</v>
      </c>
      <c r="AR13" s="873">
        <f>SUM(AE13:AP13)</f>
        <v>662.21225000000004</v>
      </c>
      <c r="AS13" s="874">
        <f>E13-AR13</f>
        <v>4.7499999999445208E-3</v>
      </c>
      <c r="AT13" s="875"/>
      <c r="AU13" s="875"/>
      <c r="AV13" s="738" t="s">
        <v>371</v>
      </c>
      <c r="AW13" s="879" t="s">
        <v>374</v>
      </c>
    </row>
    <row r="14" spans="2:56" x14ac:dyDescent="0.25">
      <c r="B14" s="883" t="s">
        <v>375</v>
      </c>
      <c r="C14" s="876" t="s">
        <v>130</v>
      </c>
      <c r="D14" s="876" t="s">
        <v>131</v>
      </c>
      <c r="E14" s="443">
        <v>644.69399999999996</v>
      </c>
      <c r="F14" s="877">
        <v>45423</v>
      </c>
      <c r="G14" s="877">
        <v>45607</v>
      </c>
      <c r="H14" s="877">
        <v>45427</v>
      </c>
      <c r="I14" s="452">
        <v>6</v>
      </c>
      <c r="J14" s="443">
        <f t="shared" si="1"/>
        <v>107.449</v>
      </c>
      <c r="K14" s="459">
        <v>0</v>
      </c>
      <c r="L14" s="459">
        <v>0</v>
      </c>
      <c r="M14" s="459">
        <v>0</v>
      </c>
      <c r="N14" s="459">
        <v>0</v>
      </c>
      <c r="O14" s="460">
        <f>+R14</f>
        <v>53.724499999999999</v>
      </c>
      <c r="P14" s="748" t="s">
        <v>376</v>
      </c>
      <c r="Q14" s="749">
        <v>53724.5</v>
      </c>
      <c r="R14" s="750">
        <f>+Q14/1000</f>
        <v>53.724499999999999</v>
      </c>
      <c r="T14" s="129"/>
      <c r="U14" s="594"/>
      <c r="V14" s="745">
        <v>0</v>
      </c>
      <c r="W14" s="745">
        <v>0</v>
      </c>
      <c r="X14" s="745">
        <v>0</v>
      </c>
      <c r="Y14" s="745">
        <v>0</v>
      </c>
      <c r="Z14" s="725">
        <v>0</v>
      </c>
      <c r="AA14" s="745">
        <v>0</v>
      </c>
      <c r="AB14" s="745">
        <v>0</v>
      </c>
      <c r="AC14" s="745">
        <v>0</v>
      </c>
      <c r="AD14" s="745">
        <v>0</v>
      </c>
      <c r="AE14" s="861">
        <v>0</v>
      </c>
      <c r="AF14" s="861">
        <v>0</v>
      </c>
      <c r="AG14" s="861">
        <v>0</v>
      </c>
      <c r="AH14" s="862">
        <v>0</v>
      </c>
      <c r="AI14" s="862">
        <v>53.72</v>
      </c>
      <c r="AJ14" s="751">
        <v>107.44</v>
      </c>
      <c r="AK14" s="862">
        <v>107.44</v>
      </c>
      <c r="AL14" s="862">
        <v>107.44</v>
      </c>
      <c r="AM14" s="752">
        <f>+AL14</f>
        <v>107.44</v>
      </c>
      <c r="AN14" s="752">
        <f>+AM14</f>
        <v>107.44</v>
      </c>
      <c r="AO14" s="752">
        <v>53.724499999999999</v>
      </c>
      <c r="AP14" s="752"/>
      <c r="AQ14" s="872">
        <f t="shared" si="2"/>
        <v>644.64450000000011</v>
      </c>
      <c r="AR14" s="873">
        <f>SUM(AE14:AP14)</f>
        <v>644.64450000000011</v>
      </c>
      <c r="AS14" s="874">
        <f>E14-AR14</f>
        <v>4.9499999999852662E-2</v>
      </c>
      <c r="AT14" s="875"/>
      <c r="AU14" s="875"/>
      <c r="AV14" s="738" t="s">
        <v>371</v>
      </c>
      <c r="AW14" s="879" t="s">
        <v>376</v>
      </c>
    </row>
    <row r="15" spans="2:56" x14ac:dyDescent="0.25">
      <c r="B15" s="471" t="s">
        <v>593</v>
      </c>
      <c r="C15" s="465" t="s">
        <v>130</v>
      </c>
      <c r="D15" s="465" t="s">
        <v>131</v>
      </c>
      <c r="E15" s="585">
        <v>11209.657999999999</v>
      </c>
      <c r="F15" s="467">
        <v>45423</v>
      </c>
      <c r="G15" s="467">
        <v>45607</v>
      </c>
      <c r="H15" s="753" t="s">
        <v>602</v>
      </c>
      <c r="I15" s="754">
        <v>6</v>
      </c>
      <c r="J15" s="585">
        <f>+E15/I15</f>
        <v>1868.2763333333332</v>
      </c>
      <c r="K15" s="459"/>
      <c r="L15" s="459"/>
      <c r="M15" s="459"/>
      <c r="N15" s="459"/>
      <c r="O15" s="755"/>
      <c r="P15" s="756"/>
      <c r="Q15" s="757"/>
      <c r="R15" s="758"/>
      <c r="T15" s="129"/>
      <c r="U15" s="594"/>
      <c r="V15" s="745"/>
      <c r="W15" s="745"/>
      <c r="X15" s="745"/>
      <c r="Y15" s="745"/>
      <c r="Z15" s="725"/>
      <c r="AA15" s="745"/>
      <c r="AB15" s="745"/>
      <c r="AC15" s="745"/>
      <c r="AD15" s="745"/>
      <c r="AE15" s="861"/>
      <c r="AF15" s="861"/>
      <c r="AG15" s="861"/>
      <c r="AH15" s="862"/>
      <c r="AI15" s="862"/>
      <c r="AJ15" s="862"/>
      <c r="AK15" s="862">
        <v>934.13816666666662</v>
      </c>
      <c r="AL15" s="862">
        <v>1868.2763333333332</v>
      </c>
      <c r="AM15" s="752">
        <f>+AL15</f>
        <v>1868.2763333333332</v>
      </c>
      <c r="AN15" s="752">
        <f>+AM15</f>
        <v>1868.2763333333332</v>
      </c>
      <c r="AO15" s="752">
        <f>+AN15</f>
        <v>1868.2763333333332</v>
      </c>
      <c r="AP15" s="752"/>
      <c r="AQ15" s="872">
        <f t="shared" si="2"/>
        <v>8407.2435000000005</v>
      </c>
      <c r="AR15" s="873">
        <f>SUM(AE15:AP15)</f>
        <v>8407.2435000000005</v>
      </c>
      <c r="AS15" s="872">
        <f t="shared" ref="AS15:AS16" si="6">E15-AR15</f>
        <v>2802.414499999999</v>
      </c>
      <c r="AT15" s="875"/>
      <c r="AU15" s="875"/>
      <c r="AV15" s="891" t="s">
        <v>603</v>
      </c>
      <c r="AW15" s="879" t="s">
        <v>604</v>
      </c>
    </row>
    <row r="16" spans="2:56" ht="15.75" thickBot="1" x14ac:dyDescent="0.3">
      <c r="B16" s="892" t="s">
        <v>593</v>
      </c>
      <c r="C16" s="876" t="s">
        <v>130</v>
      </c>
      <c r="D16" s="876" t="s">
        <v>131</v>
      </c>
      <c r="E16" s="893">
        <v>2789.98</v>
      </c>
      <c r="F16" s="877">
        <v>45439</v>
      </c>
      <c r="G16" s="877">
        <v>45607</v>
      </c>
      <c r="H16" s="894" t="s">
        <v>602</v>
      </c>
      <c r="I16" s="895">
        <v>6</v>
      </c>
      <c r="J16" s="893">
        <f>+E16/I16</f>
        <v>464.99666666666667</v>
      </c>
      <c r="K16" s="459"/>
      <c r="L16" s="459"/>
      <c r="M16" s="459"/>
      <c r="N16" s="459"/>
      <c r="O16" s="755"/>
      <c r="P16" s="756"/>
      <c r="Q16" s="757"/>
      <c r="R16" s="758"/>
      <c r="T16" s="129"/>
      <c r="U16" s="594"/>
      <c r="V16" s="745"/>
      <c r="W16" s="745"/>
      <c r="X16" s="745"/>
      <c r="Y16" s="745"/>
      <c r="Z16" s="725"/>
      <c r="AA16" s="745"/>
      <c r="AB16" s="745"/>
      <c r="AC16" s="745"/>
      <c r="AD16" s="745"/>
      <c r="AE16" s="861"/>
      <c r="AF16" s="861"/>
      <c r="AG16" s="861"/>
      <c r="AH16" s="862"/>
      <c r="AI16" s="862"/>
      <c r="AJ16" s="862"/>
      <c r="AK16" s="862">
        <v>232.49833333333333</v>
      </c>
      <c r="AL16" s="752">
        <v>464.99666666666667</v>
      </c>
      <c r="AM16" s="752">
        <f>+AL16</f>
        <v>464.99666666666667</v>
      </c>
      <c r="AN16" s="752">
        <v>464.99666666666667</v>
      </c>
      <c r="AO16" s="752">
        <v>464.99666666666667</v>
      </c>
      <c r="AP16" s="752"/>
      <c r="AQ16" s="872">
        <f t="shared" si="2"/>
        <v>2092.4850000000001</v>
      </c>
      <c r="AR16" s="873">
        <f>SUM(AE16:AP16)</f>
        <v>2092.4850000000001</v>
      </c>
      <c r="AS16" s="872">
        <f t="shared" si="6"/>
        <v>697.49499999999989</v>
      </c>
      <c r="AT16" s="875"/>
      <c r="AU16" s="875"/>
      <c r="AV16" s="891" t="s">
        <v>603</v>
      </c>
      <c r="AW16" s="879" t="s">
        <v>605</v>
      </c>
    </row>
    <row r="17" spans="2:53" ht="15.75" thickBot="1" x14ac:dyDescent="0.3">
      <c r="B17" s="471"/>
      <c r="C17" s="472"/>
      <c r="D17" s="472"/>
      <c r="E17" s="473" t="s">
        <v>20</v>
      </c>
      <c r="F17" s="473"/>
      <c r="G17" s="473"/>
      <c r="H17" s="473"/>
      <c r="I17" s="473"/>
      <c r="J17" s="473"/>
      <c r="K17" s="474">
        <f>SUM(K3:K14)</f>
        <v>5329.3327499999996</v>
      </c>
      <c r="L17" s="474">
        <f>SUM(L3:L14)</f>
        <v>11768.65</v>
      </c>
      <c r="M17" s="474">
        <f>SUM(M3:M14)</f>
        <v>17582.079999999998</v>
      </c>
      <c r="N17" s="474">
        <f>SUM(N3:N14)</f>
        <v>23549.690000000002</v>
      </c>
      <c r="O17" s="475">
        <f>SUM(O3:O14)</f>
        <v>28208.532416666665</v>
      </c>
      <c r="P17" s="641"/>
      <c r="Q17" s="642"/>
      <c r="R17" s="643"/>
      <c r="S17" s="644"/>
      <c r="T17" s="645"/>
      <c r="U17" s="642"/>
      <c r="V17" s="763">
        <f t="shared" ref="V17:AJ17" si="7">SUM(V3:V14)</f>
        <v>1180.73</v>
      </c>
      <c r="W17" s="763">
        <f t="shared" si="7"/>
        <v>1180.73</v>
      </c>
      <c r="X17" s="763">
        <f t="shared" si="7"/>
        <v>1180.73</v>
      </c>
      <c r="Y17" s="763">
        <f t="shared" si="7"/>
        <v>1180.73</v>
      </c>
      <c r="Z17" s="763">
        <f t="shared" si="7"/>
        <v>1251.6300000000001</v>
      </c>
      <c r="AA17" s="763">
        <f t="shared" si="7"/>
        <v>1180.73</v>
      </c>
      <c r="AB17" s="763">
        <f t="shared" si="7"/>
        <v>1251.6200000000001</v>
      </c>
      <c r="AC17" s="763">
        <f t="shared" si="7"/>
        <v>3039.8576666666668</v>
      </c>
      <c r="AD17" s="763">
        <f t="shared" si="7"/>
        <v>5480.0694999999996</v>
      </c>
      <c r="AE17" s="476">
        <f>SUM(AE3:AE14)</f>
        <v>5884.3194999999996</v>
      </c>
      <c r="AF17" s="476">
        <f>SUM(AF3:AF14)</f>
        <v>5884.3294999999998</v>
      </c>
      <c r="AG17" s="476">
        <f t="shared" si="7"/>
        <v>5813.4295000000002</v>
      </c>
      <c r="AH17" s="476">
        <f t="shared" si="7"/>
        <v>5967.61175</v>
      </c>
      <c r="AI17" s="477">
        <f t="shared" si="7"/>
        <v>4658.8318333333345</v>
      </c>
      <c r="AJ17" s="477">
        <f t="shared" si="7"/>
        <v>3993.5715000000005</v>
      </c>
      <c r="AK17" s="873">
        <f>SUM(AK3:AK16)</f>
        <v>3460.4827500000001</v>
      </c>
      <c r="AL17" s="873">
        <f>SUM(AL3:AL16)</f>
        <v>4627.1192500000006</v>
      </c>
      <c r="AM17" s="873">
        <f>SUM(AM3:AM16)</f>
        <v>4627.1192500000006</v>
      </c>
      <c r="AN17" s="873">
        <f>SUM(AN3:AN16)</f>
        <v>4627.1192500000006</v>
      </c>
      <c r="AO17" s="873">
        <f>SUM(AO3:AO16)</f>
        <v>4147.6544999999996</v>
      </c>
      <c r="AP17" s="478"/>
      <c r="AQ17" s="646">
        <f>SUM(AQ3:AQ16)</f>
        <v>53691.58858333333</v>
      </c>
      <c r="AR17" s="647">
        <f>SUM(AR3:AR16)</f>
        <v>69322.940333333332</v>
      </c>
      <c r="AS17" s="764">
        <f>SUM(AS3:AS16)</f>
        <v>8839.6406666666662</v>
      </c>
      <c r="AT17" s="896">
        <f>+G53</f>
        <v>8839.6114200000011</v>
      </c>
      <c r="AU17" s="766">
        <f>+AT17-AS17</f>
        <v>-2.9246666665130761E-2</v>
      </c>
      <c r="AV17" s="648"/>
    </row>
    <row r="18" spans="2:53" ht="16.5" customHeight="1" thickBot="1" x14ac:dyDescent="0.3">
      <c r="B18" s="767" t="s">
        <v>10</v>
      </c>
      <c r="E18" s="31"/>
      <c r="J18" s="768"/>
      <c r="K18" s="31">
        <f>K17</f>
        <v>5329.3327499999996</v>
      </c>
      <c r="L18" s="31">
        <f>L17-K17</f>
        <v>6439.3172500000001</v>
      </c>
      <c r="M18" s="31">
        <f>M17-L17</f>
        <v>5813.4299999999985</v>
      </c>
      <c r="N18" s="31">
        <f>N17-M17</f>
        <v>5967.6100000000042</v>
      </c>
      <c r="O18" s="31">
        <f>O17-N17</f>
        <v>4658.8424166666628</v>
      </c>
      <c r="P18" s="31"/>
      <c r="Q18" s="31">
        <f>SUM(Q3:Q11)</f>
        <v>27587280.916666668</v>
      </c>
      <c r="R18" s="31">
        <f>SUM(R3:R14)</f>
        <v>28066.752416666666</v>
      </c>
      <c r="S18" s="31"/>
      <c r="T18" s="31">
        <f>SUM(R6:R14)</f>
        <v>21854.729666666666</v>
      </c>
      <c r="U18" s="31" t="s">
        <v>633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G18" s="129"/>
      <c r="AQ18" s="4"/>
      <c r="AT18" t="s">
        <v>20</v>
      </c>
      <c r="AU18" s="769"/>
      <c r="AV18" s="770"/>
      <c r="BA18" s="683"/>
    </row>
    <row r="19" spans="2:53" ht="24" customHeight="1" thickBot="1" x14ac:dyDescent="0.3">
      <c r="B19" s="771" t="s">
        <v>634</v>
      </c>
      <c r="C19" s="772"/>
      <c r="D19" s="772"/>
      <c r="E19" s="773"/>
      <c r="F19" s="772"/>
      <c r="G19" s="772"/>
      <c r="H19" s="772"/>
      <c r="I19" s="774"/>
      <c r="J19" s="775"/>
      <c r="K19" s="775"/>
      <c r="L19" s="775"/>
      <c r="M19" s="775"/>
      <c r="N19" s="775" t="s">
        <v>20</v>
      </c>
      <c r="O19" s="775"/>
      <c r="P19" s="775"/>
      <c r="Q19" s="775"/>
      <c r="R19" s="775"/>
      <c r="S19" s="775"/>
      <c r="T19" s="775">
        <f>+T18*1000</f>
        <v>21854729.666666668</v>
      </c>
      <c r="U19" s="775"/>
      <c r="V19" s="775"/>
      <c r="W19" s="775"/>
      <c r="X19" s="775"/>
      <c r="Y19" s="775"/>
      <c r="Z19" s="775"/>
      <c r="AA19" s="775"/>
      <c r="AB19" s="775"/>
      <c r="AC19" s="775"/>
      <c r="AD19" s="775"/>
      <c r="AE19" s="776">
        <f>SUM(AE5:AE14)</f>
        <v>4703.5895</v>
      </c>
      <c r="AF19" s="776">
        <f>SUM(AF5:AF14)</f>
        <v>4703.5895</v>
      </c>
      <c r="AG19" s="777">
        <f>SUM(AG6:AG14)</f>
        <v>4632.6995000000006</v>
      </c>
      <c r="AH19" s="776">
        <f>SUM(AH6:AH14)</f>
        <v>4632.6995000000006</v>
      </c>
      <c r="AI19" s="778">
        <f>SUM(AI8:AI14)</f>
        <v>3323.9218333333329</v>
      </c>
      <c r="AJ19" s="776">
        <f>SUM(AJ8:AJ14)</f>
        <v>2658.6614999999997</v>
      </c>
      <c r="AK19" s="776">
        <f>SUM(AK12:AK16)</f>
        <v>2125.5727500000003</v>
      </c>
      <c r="AL19" s="776">
        <f>+AL12+AL13+AL14+AL15+AL16</f>
        <v>3292.2092499999999</v>
      </c>
      <c r="AM19" s="776">
        <f>+AM12+AM13+AM14+AM15+AM16</f>
        <v>3292.2092499999999</v>
      </c>
      <c r="AN19" s="776">
        <f>+AN12+AN13+AN14+AN15+AN16</f>
        <v>3292.2092499999999</v>
      </c>
      <c r="AO19" s="776">
        <f>+AO12+AO13+AO14+AO15+AO16</f>
        <v>2812.7444999999998</v>
      </c>
      <c r="AP19" s="776"/>
      <c r="AQ19" s="779"/>
      <c r="AR19" s="414"/>
      <c r="AS19" s="414"/>
      <c r="AT19" s="414"/>
      <c r="AU19" s="414"/>
      <c r="AV19" s="780"/>
      <c r="AW19" s="620" t="s">
        <v>635</v>
      </c>
      <c r="AX19" s="683"/>
    </row>
    <row r="20" spans="2:53" x14ac:dyDescent="0.25">
      <c r="T20" s="129"/>
      <c r="AL20" s="129"/>
      <c r="AQ20" s="395"/>
      <c r="AW20" s="129">
        <f>SUM(AE19:AL19)</f>
        <v>30072.943333333333</v>
      </c>
    </row>
    <row r="21" spans="2:53" x14ac:dyDescent="0.25">
      <c r="R21" s="129"/>
      <c r="AL21" s="129"/>
      <c r="AQ21" s="395"/>
      <c r="AV21" s="129"/>
      <c r="AW21" s="129"/>
    </row>
    <row r="22" spans="2:53" x14ac:dyDescent="0.25">
      <c r="AK22" s="781"/>
      <c r="AQ22" s="395"/>
      <c r="AX22" s="129"/>
    </row>
    <row r="23" spans="2:53" x14ac:dyDescent="0.25">
      <c r="C23" s="782"/>
      <c r="G23" s="31" t="s">
        <v>636</v>
      </c>
      <c r="Q23" s="129"/>
      <c r="AQ23" s="129"/>
      <c r="AX23" s="129"/>
    </row>
    <row r="24" spans="2:53" x14ac:dyDescent="0.25">
      <c r="C24" s="782"/>
      <c r="G24" s="897">
        <v>45292</v>
      </c>
      <c r="H24" s="897"/>
      <c r="I24" s="898"/>
      <c r="J24" s="899">
        <v>1180732.75</v>
      </c>
      <c r="K24" s="897"/>
      <c r="L24" s="897"/>
      <c r="M24" s="897"/>
      <c r="N24" s="897"/>
      <c r="O24" s="900">
        <v>1180732.75</v>
      </c>
      <c r="Q24" s="4"/>
      <c r="S24" s="683"/>
      <c r="AV24" s="787"/>
    </row>
    <row r="25" spans="2:53" x14ac:dyDescent="0.25">
      <c r="E25" s="683"/>
      <c r="G25" s="897">
        <v>45323</v>
      </c>
      <c r="H25" s="897"/>
      <c r="I25" s="898"/>
      <c r="J25" s="899">
        <v>1180732.75</v>
      </c>
      <c r="K25" s="897"/>
      <c r="L25" s="897"/>
      <c r="M25" s="897"/>
      <c r="N25" s="897"/>
      <c r="O25" s="900">
        <v>1180732.75</v>
      </c>
      <c r="Q25" s="4"/>
      <c r="S25" s="683"/>
      <c r="AV25" s="129"/>
    </row>
    <row r="26" spans="2:53" x14ac:dyDescent="0.25">
      <c r="E26" s="901"/>
      <c r="G26" s="897">
        <v>45352</v>
      </c>
      <c r="H26" s="897"/>
      <c r="I26" s="898"/>
      <c r="J26" s="899">
        <v>1180732.75</v>
      </c>
      <c r="K26" s="897"/>
      <c r="L26" s="897"/>
      <c r="M26" s="897"/>
      <c r="N26" s="897"/>
      <c r="O26" s="900">
        <v>1180732.75</v>
      </c>
      <c r="Q26" s="683"/>
      <c r="R26" s="683"/>
      <c r="AQ26" s="683"/>
      <c r="AV26" s="129"/>
    </row>
    <row r="27" spans="2:53" x14ac:dyDescent="0.25">
      <c r="G27" s="897">
        <v>45383</v>
      </c>
      <c r="H27" s="897"/>
      <c r="I27" s="898"/>
      <c r="J27" s="902">
        <v>1334912.25</v>
      </c>
      <c r="K27" s="897"/>
      <c r="L27" s="897"/>
      <c r="M27" s="897"/>
      <c r="N27" s="897"/>
      <c r="O27" s="903">
        <v>1334912.25</v>
      </c>
      <c r="P27" s="129"/>
      <c r="AF27" s="129"/>
      <c r="AQ27" s="683"/>
      <c r="AS27" s="129"/>
      <c r="AT27" s="129"/>
      <c r="AV27" s="787"/>
    </row>
    <row r="28" spans="2:53" x14ac:dyDescent="0.25">
      <c r="G28" s="897">
        <v>45413</v>
      </c>
      <c r="H28" s="897"/>
      <c r="I28" s="898"/>
      <c r="J28" s="902">
        <f t="shared" ref="J28:J33" si="8">+J27</f>
        <v>1334912.25</v>
      </c>
      <c r="K28" s="904"/>
      <c r="L28" s="904"/>
      <c r="M28" s="904"/>
      <c r="N28" s="904"/>
      <c r="O28" s="905">
        <f>+O27</f>
        <v>1334912.25</v>
      </c>
      <c r="P28" s="129">
        <f>+O27+O28</f>
        <v>2669824.5</v>
      </c>
      <c r="AE28" s="129"/>
      <c r="AQ28" s="683"/>
      <c r="AV28" s="129"/>
    </row>
    <row r="29" spans="2:53" x14ac:dyDescent="0.25">
      <c r="G29" s="897">
        <v>45444</v>
      </c>
      <c r="H29" s="897"/>
      <c r="I29" s="898"/>
      <c r="J29" s="902">
        <f t="shared" si="8"/>
        <v>1334912.25</v>
      </c>
      <c r="K29" s="904"/>
      <c r="L29" s="904"/>
      <c r="M29" s="904"/>
      <c r="N29" s="904"/>
      <c r="O29" s="905"/>
      <c r="AQ29" s="129"/>
    </row>
    <row r="30" spans="2:53" x14ac:dyDescent="0.25">
      <c r="G30" s="897">
        <v>45474</v>
      </c>
      <c r="H30" s="897"/>
      <c r="I30" s="898"/>
      <c r="J30" s="902">
        <f t="shared" si="8"/>
        <v>1334912.25</v>
      </c>
      <c r="K30" s="904"/>
      <c r="L30" s="904"/>
      <c r="M30" s="904"/>
      <c r="N30" s="904"/>
      <c r="O30" s="905"/>
      <c r="AE30" s="129"/>
      <c r="AV30" s="129"/>
      <c r="AW30" s="129"/>
    </row>
    <row r="31" spans="2:53" x14ac:dyDescent="0.25">
      <c r="G31" s="897">
        <v>45505</v>
      </c>
      <c r="H31" s="897"/>
      <c r="I31" s="898"/>
      <c r="J31" s="902">
        <f t="shared" si="8"/>
        <v>1334912.25</v>
      </c>
      <c r="K31" s="904"/>
      <c r="L31" s="904"/>
      <c r="M31" s="904"/>
      <c r="N31" s="904"/>
      <c r="O31" s="905"/>
      <c r="Q31" s="683"/>
      <c r="AF31" s="129"/>
      <c r="AV31" s="129"/>
    </row>
    <row r="32" spans="2:53" x14ac:dyDescent="0.25">
      <c r="G32" s="897">
        <v>45536</v>
      </c>
      <c r="H32" s="897"/>
      <c r="I32" s="898"/>
      <c r="J32" s="902">
        <f t="shared" si="8"/>
        <v>1334912.25</v>
      </c>
      <c r="K32" s="904"/>
      <c r="L32" s="904"/>
      <c r="M32" s="904"/>
      <c r="N32" s="904"/>
      <c r="O32" s="906"/>
      <c r="AV32" s="129"/>
    </row>
    <row r="33" spans="2:48" x14ac:dyDescent="0.25">
      <c r="G33" s="897">
        <v>45566</v>
      </c>
      <c r="H33" s="897"/>
      <c r="I33" s="898"/>
      <c r="J33" s="902">
        <f t="shared" si="8"/>
        <v>1334912.25</v>
      </c>
      <c r="K33" s="904"/>
      <c r="L33" s="904"/>
      <c r="M33" s="904"/>
      <c r="N33" s="904"/>
      <c r="O33" s="906"/>
    </row>
    <row r="34" spans="2:48" x14ac:dyDescent="0.25">
      <c r="G34" s="904">
        <v>45597</v>
      </c>
      <c r="H34" s="904"/>
      <c r="I34" s="907"/>
      <c r="J34" s="902">
        <f>+J33</f>
        <v>1334912.25</v>
      </c>
      <c r="K34" s="904"/>
      <c r="L34" s="904"/>
      <c r="M34" s="904"/>
      <c r="N34" s="904"/>
      <c r="O34" s="906"/>
      <c r="AV34" s="4"/>
    </row>
    <row r="35" spans="2:48" x14ac:dyDescent="0.25">
      <c r="G35" s="904">
        <v>45627</v>
      </c>
      <c r="H35" s="904"/>
      <c r="I35" s="907"/>
      <c r="J35" s="904"/>
      <c r="K35" s="904"/>
      <c r="L35" s="904"/>
      <c r="M35" s="904"/>
      <c r="N35" s="904"/>
      <c r="O35" s="906"/>
      <c r="AV35" s="129"/>
    </row>
    <row r="36" spans="2:48" x14ac:dyDescent="0.25">
      <c r="J36" s="795">
        <f>SUM(J24:J35)</f>
        <v>14221496.25</v>
      </c>
      <c r="O36" s="795">
        <f>SUM(O24:O35)</f>
        <v>6212022.75</v>
      </c>
      <c r="AE36" s="129"/>
      <c r="AF36" s="129"/>
      <c r="AV36" s="129"/>
    </row>
    <row r="37" spans="2:48" x14ac:dyDescent="0.25">
      <c r="J37" s="782">
        <f>+J36/1000</f>
        <v>14221.49625</v>
      </c>
      <c r="AF37" s="129"/>
      <c r="AV37" s="4"/>
    </row>
    <row r="38" spans="2:48" x14ac:dyDescent="0.25">
      <c r="AV38" s="129"/>
    </row>
    <row r="39" spans="2:48" x14ac:dyDescent="0.25">
      <c r="AV39" s="129"/>
    </row>
    <row r="40" spans="2:48" ht="15.75" thickBot="1" x14ac:dyDescent="0.3"/>
    <row r="41" spans="2:48" ht="15.75" thickBot="1" x14ac:dyDescent="0.3">
      <c r="B41" s="1018" t="s">
        <v>637</v>
      </c>
      <c r="C41" s="1019"/>
      <c r="D41" s="1019"/>
      <c r="E41" s="1019"/>
      <c r="F41" s="1019"/>
      <c r="G41" s="1020"/>
      <c r="H41" s="796"/>
      <c r="J41" s="472"/>
      <c r="K41" s="472"/>
      <c r="L41" s="472"/>
      <c r="M41" s="472"/>
      <c r="N41" s="472"/>
      <c r="P41" s="683"/>
      <c r="Q41" s="129"/>
      <c r="R41" s="129"/>
    </row>
    <row r="42" spans="2:48" ht="15.75" thickBot="1" x14ac:dyDescent="0.3">
      <c r="B42" s="797" t="s">
        <v>638</v>
      </c>
      <c r="C42" s="798" t="s">
        <v>136</v>
      </c>
      <c r="D42" s="799" t="s">
        <v>639</v>
      </c>
      <c r="E42" s="799" t="s">
        <v>640</v>
      </c>
      <c r="F42" s="799" t="s">
        <v>641</v>
      </c>
      <c r="G42" s="799" t="s">
        <v>642</v>
      </c>
      <c r="H42" s="800"/>
      <c r="I42" s="801"/>
      <c r="J42" s="800"/>
      <c r="K42" s="800"/>
      <c r="L42" s="800"/>
      <c r="M42" s="800"/>
      <c r="N42" s="800"/>
      <c r="P42" s="683"/>
      <c r="Q42" s="129"/>
      <c r="R42" s="129"/>
      <c r="AV42" s="129"/>
    </row>
    <row r="43" spans="2:48" ht="15.75" thickBot="1" x14ac:dyDescent="0.3">
      <c r="B43" s="739" t="s">
        <v>643</v>
      </c>
      <c r="C43" t="s">
        <v>644</v>
      </c>
      <c r="D43" s="802">
        <v>0</v>
      </c>
      <c r="E43" s="4">
        <f>+G43</f>
        <v>53691.650179999997</v>
      </c>
      <c r="F43" s="802">
        <v>0</v>
      </c>
      <c r="G43" s="689">
        <f>+G44</f>
        <v>53691.650179999997</v>
      </c>
      <c r="H43" s="395">
        <f>+AQ17</f>
        <v>53691.58858333333</v>
      </c>
      <c r="I43" s="803">
        <f>+H43-G43</f>
        <v>-6.1596666666446254E-2</v>
      </c>
      <c r="J43" s="395"/>
      <c r="K43" s="395"/>
      <c r="L43" s="395"/>
      <c r="M43" s="395"/>
      <c r="N43" s="395"/>
      <c r="P43" s="129"/>
      <c r="AF43" s="129"/>
      <c r="AV43" s="129"/>
    </row>
    <row r="44" spans="2:48" x14ac:dyDescent="0.25">
      <c r="B44" s="739" t="s">
        <v>645</v>
      </c>
      <c r="C44" t="s">
        <v>646</v>
      </c>
      <c r="D44" s="802">
        <v>0</v>
      </c>
      <c r="E44" s="4">
        <f>+E45+E48</f>
        <v>53691.650179999997</v>
      </c>
      <c r="F44" s="802">
        <v>0</v>
      </c>
      <c r="G44" s="264">
        <f>+G46+G49</f>
        <v>53691.650179999997</v>
      </c>
      <c r="H44" s="395"/>
      <c r="I44" s="803"/>
      <c r="J44" s="395" t="s">
        <v>647</v>
      </c>
      <c r="K44" s="395"/>
      <c r="L44" s="395"/>
      <c r="M44" s="395"/>
      <c r="N44" s="395"/>
      <c r="P44" s="129"/>
      <c r="Q44" s="129"/>
      <c r="AF44" s="129"/>
      <c r="AG44" s="129"/>
      <c r="AH44" s="129"/>
      <c r="AV44" s="129"/>
    </row>
    <row r="45" spans="2:48" ht="15.75" thickBot="1" x14ac:dyDescent="0.3">
      <c r="B45" s="739" t="s">
        <v>648</v>
      </c>
      <c r="C45" t="s">
        <v>649</v>
      </c>
      <c r="D45" s="802">
        <v>0</v>
      </c>
      <c r="E45" s="264">
        <v>14221.49625</v>
      </c>
      <c r="F45" s="802">
        <v>0</v>
      </c>
      <c r="G45" s="264">
        <f>+G46</f>
        <v>14221.49625</v>
      </c>
      <c r="H45" s="804"/>
      <c r="I45" s="805"/>
      <c r="J45" s="804">
        <v>14221496.25</v>
      </c>
      <c r="K45" s="804"/>
      <c r="L45" s="804"/>
      <c r="M45" s="804"/>
      <c r="N45" s="804"/>
      <c r="AG45" s="129"/>
      <c r="AV45" s="683"/>
    </row>
    <row r="46" spans="2:48" ht="15.75" thickBot="1" x14ac:dyDescent="0.3">
      <c r="B46" s="739" t="s">
        <v>650</v>
      </c>
      <c r="C46" t="s">
        <v>649</v>
      </c>
      <c r="D46" s="802">
        <v>0</v>
      </c>
      <c r="E46" s="806">
        <v>14221.49625</v>
      </c>
      <c r="F46" s="802">
        <v>0</v>
      </c>
      <c r="G46" s="806">
        <f>+G47</f>
        <v>14221.49625</v>
      </c>
      <c r="H46" s="395"/>
      <c r="I46" s="803"/>
      <c r="J46" s="807">
        <f>+J45/1000</f>
        <v>14221.49625</v>
      </c>
      <c r="K46" s="395"/>
      <c r="L46" s="395"/>
      <c r="M46" s="395"/>
      <c r="N46" s="395"/>
      <c r="O46" s="395"/>
      <c r="P46" s="4"/>
      <c r="AF46" s="4"/>
      <c r="AV46" s="129"/>
    </row>
    <row r="47" spans="2:48" x14ac:dyDescent="0.25">
      <c r="B47" s="739" t="s">
        <v>651</v>
      </c>
      <c r="C47" t="s">
        <v>649</v>
      </c>
      <c r="D47" s="802">
        <v>0</v>
      </c>
      <c r="E47" s="264">
        <v>14221.49625</v>
      </c>
      <c r="F47" s="802">
        <v>0</v>
      </c>
      <c r="G47" s="264">
        <f>+J46</f>
        <v>14221.49625</v>
      </c>
      <c r="H47" s="804"/>
      <c r="I47" s="805"/>
      <c r="J47" s="804"/>
      <c r="K47" s="804"/>
      <c r="L47" s="804"/>
      <c r="M47" s="804"/>
      <c r="N47" s="804"/>
      <c r="P47" s="129"/>
    </row>
    <row r="48" spans="2:48" ht="15.75" thickBot="1" x14ac:dyDescent="0.3">
      <c r="B48" s="739" t="s">
        <v>652</v>
      </c>
      <c r="C48" t="s">
        <v>653</v>
      </c>
      <c r="D48" s="802">
        <v>0</v>
      </c>
      <c r="E48" s="4">
        <v>39470.15393</v>
      </c>
      <c r="F48" s="802">
        <v>0</v>
      </c>
      <c r="G48" s="4">
        <v>39470.15393</v>
      </c>
      <c r="H48" s="804"/>
      <c r="I48" s="805"/>
      <c r="J48" s="804">
        <v>39470153.93</v>
      </c>
      <c r="K48" s="804"/>
      <c r="L48" s="804"/>
      <c r="M48" s="804"/>
      <c r="N48" s="804"/>
      <c r="P48" s="129"/>
    </row>
    <row r="49" spans="2:48" ht="15.75" thickBot="1" x14ac:dyDescent="0.3">
      <c r="B49" s="739" t="s">
        <v>654</v>
      </c>
      <c r="C49" t="s">
        <v>653</v>
      </c>
      <c r="D49" s="802">
        <v>0</v>
      </c>
      <c r="E49" s="4">
        <v>39470.15393</v>
      </c>
      <c r="F49" s="802">
        <v>0</v>
      </c>
      <c r="G49" s="4">
        <v>39470.15393</v>
      </c>
      <c r="H49" s="804"/>
      <c r="I49" s="805"/>
      <c r="J49" s="807">
        <f>+J48/1000</f>
        <v>39470.15393</v>
      </c>
      <c r="K49" s="804"/>
      <c r="L49" s="804"/>
      <c r="M49" s="804"/>
      <c r="N49" s="804"/>
      <c r="O49" s="395"/>
      <c r="P49" s="683"/>
      <c r="AE49" s="4"/>
      <c r="AV49" s="4"/>
    </row>
    <row r="50" spans="2:48" x14ac:dyDescent="0.25">
      <c r="B50" s="739" t="s">
        <v>655</v>
      </c>
      <c r="C50" t="s">
        <v>653</v>
      </c>
      <c r="D50" s="802">
        <v>0</v>
      </c>
      <c r="E50" s="4">
        <v>39470.15393</v>
      </c>
      <c r="F50" s="802">
        <v>0</v>
      </c>
      <c r="G50" s="4">
        <v>39470.15393</v>
      </c>
      <c r="J50" s="395">
        <f>+J49+J46</f>
        <v>53691.650179999997</v>
      </c>
      <c r="P50" s="129"/>
      <c r="AF50" s="129"/>
      <c r="AV50" s="4"/>
    </row>
    <row r="51" spans="2:48" ht="15.75" thickBot="1" x14ac:dyDescent="0.3">
      <c r="J51" s="782"/>
      <c r="P51" s="4"/>
    </row>
    <row r="52" spans="2:48" ht="15.75" thickBot="1" x14ac:dyDescent="0.3">
      <c r="B52" s="1018" t="s">
        <v>656</v>
      </c>
      <c r="C52" s="1019"/>
      <c r="D52" s="1019"/>
      <c r="E52" s="1019"/>
      <c r="F52" s="1019"/>
      <c r="G52" s="1024"/>
      <c r="H52" s="782"/>
      <c r="I52" s="808"/>
      <c r="J52" s="782"/>
      <c r="K52" s="782"/>
      <c r="L52" s="782"/>
      <c r="M52" s="782"/>
      <c r="N52" s="782"/>
    </row>
    <row r="53" spans="2:48" x14ac:dyDescent="0.25">
      <c r="B53" s="809" t="s">
        <v>657</v>
      </c>
      <c r="C53" t="s">
        <v>658</v>
      </c>
      <c r="D53" s="802">
        <v>26295.622239999997</v>
      </c>
      <c r="E53" s="4">
        <v>36235.639360000001</v>
      </c>
      <c r="F53" s="920">
        <v>53691.650179999997</v>
      </c>
      <c r="G53" s="921">
        <f>+D53+E53-F53</f>
        <v>8839.6114200000011</v>
      </c>
      <c r="H53" s="782"/>
      <c r="I53" s="808"/>
      <c r="J53" s="782">
        <v>8839611.4199999999</v>
      </c>
      <c r="K53" s="782"/>
      <c r="L53" s="782"/>
      <c r="M53" s="782"/>
      <c r="N53" s="782"/>
    </row>
    <row r="54" spans="2:48" x14ac:dyDescent="0.25">
      <c r="B54" s="809" t="s">
        <v>659</v>
      </c>
      <c r="C54" t="s">
        <v>660</v>
      </c>
      <c r="D54" s="802">
        <v>26295.622239999997</v>
      </c>
      <c r="E54" s="4">
        <v>36235.639360000001</v>
      </c>
      <c r="F54" s="920">
        <v>53691.650179999997</v>
      </c>
      <c r="G54" s="921">
        <f t="shared" ref="G54:G58" si="9">+D54+E54-F54</f>
        <v>8839.6114200000011</v>
      </c>
      <c r="J54" s="782">
        <f>+J53/1000</f>
        <v>8839.6114199999993</v>
      </c>
      <c r="AF54" s="4"/>
    </row>
    <row r="55" spans="2:48" x14ac:dyDescent="0.25">
      <c r="B55" s="809" t="s">
        <v>661</v>
      </c>
      <c r="C55" t="s">
        <v>662</v>
      </c>
      <c r="D55" s="802">
        <v>26295.622239999997</v>
      </c>
      <c r="E55" s="4">
        <v>36235.639360000001</v>
      </c>
      <c r="F55" s="920">
        <v>53691.650179999997</v>
      </c>
      <c r="G55" s="921">
        <f t="shared" si="9"/>
        <v>8839.6114200000011</v>
      </c>
      <c r="J55" s="782"/>
    </row>
    <row r="56" spans="2:48" x14ac:dyDescent="0.25">
      <c r="B56" s="809" t="s">
        <v>663</v>
      </c>
      <c r="C56" t="s">
        <v>597</v>
      </c>
      <c r="D56" s="802">
        <v>26295.622239999997</v>
      </c>
      <c r="E56" s="4">
        <v>36235.639360000001</v>
      </c>
      <c r="F56" s="920">
        <v>53691.650179999997</v>
      </c>
      <c r="G56" s="921">
        <f t="shared" si="9"/>
        <v>8839.6114200000011</v>
      </c>
      <c r="J56" s="782"/>
      <c r="AF56" s="4"/>
    </row>
    <row r="57" spans="2:48" x14ac:dyDescent="0.25">
      <c r="B57" s="809" t="s">
        <v>664</v>
      </c>
      <c r="C57" t="s">
        <v>597</v>
      </c>
      <c r="D57" s="802">
        <v>26295.622239999997</v>
      </c>
      <c r="E57" s="4">
        <v>36235.639360000001</v>
      </c>
      <c r="F57" s="920">
        <v>53691.650179999997</v>
      </c>
      <c r="G57" s="921">
        <f t="shared" si="9"/>
        <v>8839.6114200000011</v>
      </c>
      <c r="J57" s="782">
        <v>53691650.18</v>
      </c>
      <c r="AF57" s="683"/>
    </row>
    <row r="58" spans="2:48" x14ac:dyDescent="0.25">
      <c r="B58" s="809" t="s">
        <v>665</v>
      </c>
      <c r="C58" t="s">
        <v>597</v>
      </c>
      <c r="D58" s="802">
        <v>26295.622239999997</v>
      </c>
      <c r="E58" s="4">
        <v>36235.639360000001</v>
      </c>
      <c r="F58" s="920">
        <f>+J50</f>
        <v>53691.650179999997</v>
      </c>
      <c r="G58" s="921">
        <f t="shared" si="9"/>
        <v>8839.6114200000011</v>
      </c>
      <c r="J58" s="782">
        <f>+J57/1000</f>
        <v>53691.650179999997</v>
      </c>
    </row>
    <row r="59" spans="2:48" x14ac:dyDescent="0.25">
      <c r="F59" s="395"/>
    </row>
    <row r="60" spans="2:48" x14ac:dyDescent="0.25">
      <c r="J60" s="782"/>
    </row>
    <row r="61" spans="2:48" x14ac:dyDescent="0.25">
      <c r="B61" s="810">
        <v>22241524.670000002</v>
      </c>
      <c r="J61" s="782"/>
    </row>
    <row r="62" spans="2:48" x14ac:dyDescent="0.25">
      <c r="B62" s="810">
        <f>+B61/1000</f>
        <v>22241.524670000003</v>
      </c>
      <c r="AF62" s="683"/>
    </row>
    <row r="64" spans="2:48" ht="15.75" thickBot="1" x14ac:dyDescent="0.3"/>
    <row r="65" spans="2:31" ht="17.25" thickBot="1" x14ac:dyDescent="0.35">
      <c r="B65" s="993" t="s">
        <v>607</v>
      </c>
      <c r="C65" s="994"/>
      <c r="D65" s="994"/>
      <c r="E65" s="994"/>
      <c r="F65" s="994"/>
      <c r="G65" s="994"/>
      <c r="H65" s="995"/>
    </row>
    <row r="66" spans="2:31" ht="15.75" thickBot="1" x14ac:dyDescent="0.3">
      <c r="B66" s="996" t="s">
        <v>123</v>
      </c>
      <c r="C66" s="998" t="s">
        <v>124</v>
      </c>
      <c r="D66" s="998" t="s">
        <v>125</v>
      </c>
      <c r="E66" s="998" t="s">
        <v>133</v>
      </c>
      <c r="F66" s="1000" t="s">
        <v>611</v>
      </c>
      <c r="G66" s="1001"/>
      <c r="H66" s="998" t="s">
        <v>589</v>
      </c>
    </row>
    <row r="67" spans="2:31" ht="15.75" thickBot="1" x14ac:dyDescent="0.3">
      <c r="B67" s="997"/>
      <c r="C67" s="999"/>
      <c r="D67" s="999"/>
      <c r="E67" s="999"/>
      <c r="F67" s="62" t="s">
        <v>612</v>
      </c>
      <c r="G67" s="679" t="s">
        <v>359</v>
      </c>
      <c r="H67" s="999"/>
    </row>
    <row r="68" spans="2:31" ht="15.75" thickBot="1" x14ac:dyDescent="0.3">
      <c r="B68" s="722" t="s">
        <v>127</v>
      </c>
      <c r="C68" s="723" t="s">
        <v>128</v>
      </c>
      <c r="D68" s="723" t="s">
        <v>129</v>
      </c>
      <c r="E68" s="811">
        <v>14168.793</v>
      </c>
      <c r="F68" s="812">
        <v>44927</v>
      </c>
      <c r="G68" s="858">
        <v>45291</v>
      </c>
      <c r="H68" s="813">
        <v>2.3000000002866727E-2</v>
      </c>
    </row>
    <row r="69" spans="2:31" x14ac:dyDescent="0.25">
      <c r="B69" s="729" t="s">
        <v>127</v>
      </c>
      <c r="C69" s="730" t="s">
        <v>128</v>
      </c>
      <c r="D69" s="730" t="s">
        <v>129</v>
      </c>
      <c r="E69" s="443">
        <v>16018.947</v>
      </c>
      <c r="F69" s="444">
        <v>45292</v>
      </c>
      <c r="G69" s="669">
        <v>45657</v>
      </c>
      <c r="H69" s="908">
        <v>5339.6647499999999</v>
      </c>
      <c r="J69" s="795"/>
      <c r="AE69" s="129"/>
    </row>
    <row r="70" spans="2:31" x14ac:dyDescent="0.25">
      <c r="B70" s="665" t="s">
        <v>593</v>
      </c>
      <c r="C70" s="876" t="s">
        <v>130</v>
      </c>
      <c r="D70" s="876" t="s">
        <v>131</v>
      </c>
      <c r="E70" s="443">
        <v>11209.657999999999</v>
      </c>
      <c r="F70" s="877">
        <v>45093</v>
      </c>
      <c r="G70" s="909">
        <v>45241</v>
      </c>
      <c r="H70" s="908">
        <f>+AS15</f>
        <v>2802.414499999999</v>
      </c>
    </row>
    <row r="71" spans="2:31" x14ac:dyDescent="0.25">
      <c r="B71" s="666" t="s">
        <v>593</v>
      </c>
      <c r="C71" s="465" t="s">
        <v>130</v>
      </c>
      <c r="D71" s="876" t="s">
        <v>131</v>
      </c>
      <c r="E71" s="443">
        <v>2789.98</v>
      </c>
      <c r="F71" s="877">
        <v>45241</v>
      </c>
      <c r="G71" s="671">
        <v>45423</v>
      </c>
      <c r="H71" s="908">
        <f>+AS16</f>
        <v>697.49499999999989</v>
      </c>
    </row>
    <row r="72" spans="2:31" x14ac:dyDescent="0.25">
      <c r="B72" s="910" t="s">
        <v>370</v>
      </c>
      <c r="C72" s="876" t="s">
        <v>130</v>
      </c>
      <c r="D72" s="876" t="s">
        <v>131</v>
      </c>
      <c r="E72" s="443">
        <v>4446.7470000000003</v>
      </c>
      <c r="F72" s="877">
        <v>45423</v>
      </c>
      <c r="G72" s="909">
        <v>45607</v>
      </c>
      <c r="H72" s="908">
        <f>+AS12</f>
        <v>-9.0000000009240466E-3</v>
      </c>
    </row>
    <row r="73" spans="2:31" x14ac:dyDescent="0.25">
      <c r="B73" s="910" t="s">
        <v>373</v>
      </c>
      <c r="C73" s="876" t="s">
        <v>130</v>
      </c>
      <c r="D73" s="876" t="s">
        <v>131</v>
      </c>
      <c r="E73" s="443">
        <v>662.21699999999998</v>
      </c>
      <c r="F73" s="877">
        <v>45423</v>
      </c>
      <c r="G73" s="909">
        <v>45607</v>
      </c>
      <c r="H73" s="908">
        <f>+AS13</f>
        <v>4.7499999999445208E-3</v>
      </c>
    </row>
    <row r="74" spans="2:31" ht="15.75" thickBot="1" x14ac:dyDescent="0.3">
      <c r="B74" s="911" t="s">
        <v>375</v>
      </c>
      <c r="C74" s="912" t="s">
        <v>130</v>
      </c>
      <c r="D74" s="912" t="s">
        <v>131</v>
      </c>
      <c r="E74" s="529">
        <v>644.69399999999996</v>
      </c>
      <c r="F74" s="913">
        <v>45423</v>
      </c>
      <c r="G74" s="672">
        <v>45607</v>
      </c>
      <c r="H74" s="914">
        <f>+AS14</f>
        <v>4.9499999999852662E-2</v>
      </c>
    </row>
    <row r="75" spans="2:31" ht="15.75" thickBot="1" x14ac:dyDescent="0.3">
      <c r="B75" s="532"/>
      <c r="C75" s="664" t="s">
        <v>19</v>
      </c>
      <c r="D75" s="533"/>
      <c r="E75" s="534" t="s">
        <v>20</v>
      </c>
      <c r="F75" s="533"/>
      <c r="G75" s="533"/>
      <c r="H75" s="535">
        <f>SUM(H68:H74)</f>
        <v>8839.6424999999999</v>
      </c>
      <c r="I75" s="814">
        <f>+AS17</f>
        <v>8839.6406666666662</v>
      </c>
      <c r="J75" s="795"/>
    </row>
    <row r="76" spans="2:31" x14ac:dyDescent="0.25">
      <c r="C76" s="564"/>
      <c r="E76" s="31" t="s">
        <v>680</v>
      </c>
      <c r="H76" s="675">
        <f>+G53</f>
        <v>8839.6114200000011</v>
      </c>
    </row>
    <row r="77" spans="2:31" x14ac:dyDescent="0.25">
      <c r="H77" s="815">
        <f>+H76-H75</f>
        <v>-3.1079999998837593E-2</v>
      </c>
    </row>
    <row r="78" spans="2:31" ht="15.75" thickBot="1" x14ac:dyDescent="0.3"/>
    <row r="79" spans="2:31" ht="17.25" thickBot="1" x14ac:dyDescent="0.35">
      <c r="B79" s="993" t="s">
        <v>615</v>
      </c>
      <c r="C79" s="994"/>
      <c r="D79" s="994"/>
      <c r="E79" s="994"/>
      <c r="F79" s="994"/>
      <c r="G79" s="994"/>
      <c r="H79" s="995"/>
    </row>
    <row r="80" spans="2:31" ht="15.75" thickBot="1" x14ac:dyDescent="0.3">
      <c r="B80" s="996" t="s">
        <v>123</v>
      </c>
      <c r="C80" s="998" t="s">
        <v>124</v>
      </c>
      <c r="D80" s="998" t="s">
        <v>125</v>
      </c>
      <c r="E80" s="998" t="s">
        <v>133</v>
      </c>
      <c r="F80" s="1000" t="s">
        <v>611</v>
      </c>
      <c r="G80" s="1001"/>
      <c r="H80" s="998" t="s">
        <v>614</v>
      </c>
    </row>
    <row r="81" spans="2:10" ht="15.75" thickBot="1" x14ac:dyDescent="0.3">
      <c r="B81" s="997"/>
      <c r="C81" s="999"/>
      <c r="D81" s="999"/>
      <c r="E81" s="999"/>
      <c r="F81" s="62" t="s">
        <v>612</v>
      </c>
      <c r="G81" s="679" t="s">
        <v>359</v>
      </c>
      <c r="H81" s="999"/>
    </row>
    <row r="82" spans="2:10" x14ac:dyDescent="0.25">
      <c r="B82" s="722" t="s">
        <v>127</v>
      </c>
      <c r="C82" s="723" t="s">
        <v>128</v>
      </c>
      <c r="D82" s="723" t="s">
        <v>129</v>
      </c>
      <c r="E82" s="811">
        <v>14168.793</v>
      </c>
      <c r="F82" s="812">
        <v>44927</v>
      </c>
      <c r="G82" s="816">
        <v>45291</v>
      </c>
      <c r="H82" s="817">
        <v>3542.2000000000003</v>
      </c>
    </row>
    <row r="83" spans="2:10" x14ac:dyDescent="0.25">
      <c r="B83" s="915" t="s">
        <v>127</v>
      </c>
      <c r="C83" s="916" t="s">
        <v>128</v>
      </c>
      <c r="D83" s="916" t="s">
        <v>129</v>
      </c>
      <c r="E83" s="893">
        <v>16018.947</v>
      </c>
      <c r="F83" s="877">
        <v>45292</v>
      </c>
      <c r="G83" s="917">
        <v>45657</v>
      </c>
      <c r="H83" s="918">
        <f>+AQ4</f>
        <v>10679.28225</v>
      </c>
    </row>
    <row r="84" spans="2:10" x14ac:dyDescent="0.25">
      <c r="B84" s="915" t="s">
        <v>132</v>
      </c>
      <c r="C84" s="876" t="s">
        <v>130</v>
      </c>
      <c r="D84" s="876" t="s">
        <v>131</v>
      </c>
      <c r="E84" s="893">
        <v>425.35</v>
      </c>
      <c r="F84" s="877">
        <v>45093</v>
      </c>
      <c r="G84" s="917">
        <v>45241</v>
      </c>
      <c r="H84" s="918">
        <f>+AQ5</f>
        <v>141.78</v>
      </c>
    </row>
    <row r="85" spans="2:10" x14ac:dyDescent="0.25">
      <c r="B85" s="883" t="s">
        <v>279</v>
      </c>
      <c r="C85" s="876" t="s">
        <v>130</v>
      </c>
      <c r="D85" s="876" t="s">
        <v>131</v>
      </c>
      <c r="E85" s="893">
        <v>9303.7029999999995</v>
      </c>
      <c r="F85" s="877">
        <v>45241</v>
      </c>
      <c r="G85" s="917">
        <v>45607</v>
      </c>
      <c r="H85" s="918">
        <v>6202.4686666666666</v>
      </c>
    </row>
    <row r="86" spans="2:10" x14ac:dyDescent="0.25">
      <c r="B86" s="883" t="s">
        <v>280</v>
      </c>
      <c r="C86" s="876" t="s">
        <v>130</v>
      </c>
      <c r="D86" s="876" t="s">
        <v>131</v>
      </c>
      <c r="E86" s="893">
        <v>703.30200000000002</v>
      </c>
      <c r="F86" s="877">
        <v>45241</v>
      </c>
      <c r="G86" s="917">
        <v>45423</v>
      </c>
      <c r="H86" s="918">
        <v>468.86799999999999</v>
      </c>
    </row>
    <row r="87" spans="2:10" x14ac:dyDescent="0.25">
      <c r="B87" s="883" t="s">
        <v>282</v>
      </c>
      <c r="C87" s="876" t="s">
        <v>130</v>
      </c>
      <c r="D87" s="876" t="s">
        <v>131</v>
      </c>
      <c r="E87" s="893">
        <v>3329.9340000000002</v>
      </c>
      <c r="F87" s="877">
        <v>45241</v>
      </c>
      <c r="G87" s="917">
        <v>45423</v>
      </c>
      <c r="H87" s="918">
        <v>3329.9340000000002</v>
      </c>
    </row>
    <row r="88" spans="2:10" x14ac:dyDescent="0.25">
      <c r="B88" s="883" t="s">
        <v>281</v>
      </c>
      <c r="C88" s="876" t="s">
        <v>130</v>
      </c>
      <c r="D88" s="876" t="s">
        <v>131</v>
      </c>
      <c r="E88" s="893">
        <v>722.42100000000005</v>
      </c>
      <c r="F88" s="877">
        <v>45241</v>
      </c>
      <c r="G88" s="917">
        <v>45417</v>
      </c>
      <c r="H88" s="918">
        <v>481.61400000000003</v>
      </c>
    </row>
    <row r="89" spans="2:10" x14ac:dyDescent="0.25">
      <c r="B89" s="883" t="s">
        <v>282</v>
      </c>
      <c r="C89" s="876" t="s">
        <v>130</v>
      </c>
      <c r="D89" s="876" t="s">
        <v>131</v>
      </c>
      <c r="E89" s="893">
        <v>8885.8369999999995</v>
      </c>
      <c r="F89" s="877">
        <v>45241</v>
      </c>
      <c r="G89" s="917">
        <v>45423</v>
      </c>
      <c r="H89" s="918">
        <v>8145.3505833333329</v>
      </c>
    </row>
    <row r="90" spans="2:10" x14ac:dyDescent="0.25">
      <c r="B90" s="883" t="s">
        <v>283</v>
      </c>
      <c r="C90" s="876" t="s">
        <v>130</v>
      </c>
      <c r="D90" s="876" t="s">
        <v>131</v>
      </c>
      <c r="E90" s="893">
        <v>4850.9979999999996</v>
      </c>
      <c r="F90" s="877">
        <v>45241</v>
      </c>
      <c r="G90" s="917">
        <v>45423</v>
      </c>
      <c r="H90" s="918">
        <v>4446.7498333333333</v>
      </c>
    </row>
    <row r="91" spans="2:10" x14ac:dyDescent="0.25">
      <c r="B91" s="883" t="s">
        <v>370</v>
      </c>
      <c r="C91" s="876" t="s">
        <v>130</v>
      </c>
      <c r="D91" s="876" t="s">
        <v>131</v>
      </c>
      <c r="E91" s="893">
        <v>4446.7470000000003</v>
      </c>
      <c r="F91" s="877">
        <v>45423</v>
      </c>
      <c r="G91" s="917">
        <v>45607</v>
      </c>
      <c r="H91" s="918">
        <f>+AQ12</f>
        <v>4446.7560000000012</v>
      </c>
    </row>
    <row r="92" spans="2:10" x14ac:dyDescent="0.25">
      <c r="B92" s="883" t="s">
        <v>373</v>
      </c>
      <c r="C92" s="876" t="s">
        <v>130</v>
      </c>
      <c r="D92" s="876" t="s">
        <v>131</v>
      </c>
      <c r="E92" s="893">
        <v>662.21699999999998</v>
      </c>
      <c r="F92" s="877">
        <v>45423</v>
      </c>
      <c r="G92" s="917">
        <v>45607</v>
      </c>
      <c r="H92" s="918">
        <f>+AQ13</f>
        <v>662.21225000000004</v>
      </c>
    </row>
    <row r="93" spans="2:10" x14ac:dyDescent="0.25">
      <c r="B93" s="883" t="s">
        <v>375</v>
      </c>
      <c r="C93" s="876" t="s">
        <v>130</v>
      </c>
      <c r="D93" s="876" t="s">
        <v>131</v>
      </c>
      <c r="E93" s="893">
        <v>644.69399999999996</v>
      </c>
      <c r="F93" s="877">
        <v>45423</v>
      </c>
      <c r="G93" s="917">
        <v>45607</v>
      </c>
      <c r="H93" s="918">
        <f>+AQ14</f>
        <v>644.64450000000011</v>
      </c>
    </row>
    <row r="94" spans="2:10" x14ac:dyDescent="0.25">
      <c r="B94" s="883" t="s">
        <v>593</v>
      </c>
      <c r="C94" s="876" t="s">
        <v>130</v>
      </c>
      <c r="D94" s="876" t="s">
        <v>131</v>
      </c>
      <c r="E94" s="893">
        <v>11209.657999999999</v>
      </c>
      <c r="F94" s="877">
        <v>45423</v>
      </c>
      <c r="G94" s="917">
        <v>45607</v>
      </c>
      <c r="H94" s="919">
        <f>+AQ15</f>
        <v>8407.2435000000005</v>
      </c>
    </row>
    <row r="95" spans="2:10" ht="15.75" thickBot="1" x14ac:dyDescent="0.3">
      <c r="B95" s="464" t="s">
        <v>593</v>
      </c>
      <c r="C95" s="465" t="s">
        <v>130</v>
      </c>
      <c r="D95" s="465" t="s">
        <v>131</v>
      </c>
      <c r="E95" s="585">
        <v>2789.98</v>
      </c>
      <c r="F95" s="467">
        <v>45439</v>
      </c>
      <c r="G95" s="584">
        <v>45607</v>
      </c>
      <c r="H95" s="690">
        <f>+AQ16</f>
        <v>2092.4850000000001</v>
      </c>
    </row>
    <row r="96" spans="2:10" ht="15.75" thickBot="1" x14ac:dyDescent="0.3">
      <c r="B96" s="560" t="s">
        <v>19</v>
      </c>
      <c r="C96" s="587"/>
      <c r="D96" s="587"/>
      <c r="E96" s="588"/>
      <c r="F96" s="587"/>
      <c r="G96" s="589"/>
      <c r="H96" s="590">
        <f>SUM(H82:H95)</f>
        <v>53691.58858333333</v>
      </c>
      <c r="I96" s="814">
        <f>+AQ17</f>
        <v>53691.58858333333</v>
      </c>
      <c r="J96" s="795">
        <f>+H96-I96</f>
        <v>0</v>
      </c>
    </row>
    <row r="97" spans="5:8" ht="15.75" thickBot="1" x14ac:dyDescent="0.3">
      <c r="E97" s="31" t="s">
        <v>619</v>
      </c>
      <c r="H97" s="689">
        <f>+J50</f>
        <v>53691.650179999997</v>
      </c>
    </row>
    <row r="98" spans="5:8" x14ac:dyDescent="0.25">
      <c r="H98" s="815">
        <f>+H96-H97</f>
        <v>-6.1596666666446254E-2</v>
      </c>
    </row>
  </sheetData>
  <protectedRanges>
    <protectedRange sqref="H42:N49" name="Rango1_8"/>
    <protectedRange sqref="AT17:AU17" name="Rango1_1_1"/>
    <protectedRange sqref="AQ20:AQ21" name="Rango1_2_1"/>
    <protectedRange sqref="B52 B53:F58" name="Rango1_5_1"/>
    <protectedRange sqref="B43:G47" name="Rango1_3_2"/>
    <protectedRange sqref="B48:G50" name="Rango1_4_1"/>
    <protectedRange sqref="BB4" name="Rango1_6_1"/>
    <protectedRange sqref="BA4" name="Rango1_7_1"/>
    <protectedRange sqref="H97" name="Rango1_3_1_1"/>
  </protectedRanges>
  <mergeCells count="24">
    <mergeCell ref="H66:H67"/>
    <mergeCell ref="B79:H79"/>
    <mergeCell ref="B80:B81"/>
    <mergeCell ref="C80:C81"/>
    <mergeCell ref="D80:D81"/>
    <mergeCell ref="E80:E81"/>
    <mergeCell ref="F80:G80"/>
    <mergeCell ref="H80:H81"/>
    <mergeCell ref="B66:B67"/>
    <mergeCell ref="C66:C67"/>
    <mergeCell ref="D66:D67"/>
    <mergeCell ref="E66:E67"/>
    <mergeCell ref="F66:G66"/>
    <mergeCell ref="AV1:AV2"/>
    <mergeCell ref="BA2:BD2"/>
    <mergeCell ref="B41:G41"/>
    <mergeCell ref="B52:G52"/>
    <mergeCell ref="B65:H65"/>
    <mergeCell ref="B1:J1"/>
    <mergeCell ref="K1:O1"/>
    <mergeCell ref="V1:AQ1"/>
    <mergeCell ref="AS1:AS2"/>
    <mergeCell ref="AT1:AT2"/>
    <mergeCell ref="AU1:AU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</vt:i4>
      </vt:variant>
    </vt:vector>
  </HeadingPairs>
  <TitlesOfParts>
    <vt:vector size="24" baseType="lpstr">
      <vt:lpstr>Efectivo y Equivalentes</vt:lpstr>
      <vt:lpstr>Cuentas x Cob</vt:lpstr>
      <vt:lpstr>Incobrables</vt:lpstr>
      <vt:lpstr>Inventarios</vt:lpstr>
      <vt:lpstr>Seguros julio</vt:lpstr>
      <vt:lpstr>Seguros agosto</vt:lpstr>
      <vt:lpstr>seguros setiembre</vt:lpstr>
      <vt:lpstr>seguros de octubre</vt:lpstr>
      <vt:lpstr>seguros de noviembre</vt:lpstr>
      <vt:lpstr>Bienes no Concesionados</vt:lpstr>
      <vt:lpstr>Inv Bien no Conces </vt:lpstr>
      <vt:lpstr>Prop Planta y Equipo</vt:lpstr>
      <vt:lpstr>PPyE valor 0</vt:lpstr>
      <vt:lpstr>Bienes Infraestrucura</vt:lpstr>
      <vt:lpstr>Intangibles</vt:lpstr>
      <vt:lpstr>Bienes en Proceso</vt:lpstr>
      <vt:lpstr>Deudas CP</vt:lpstr>
      <vt:lpstr>Transferencias Pasivo</vt:lpstr>
      <vt:lpstr>Deuda Pública CP</vt:lpstr>
      <vt:lpstr>Dep en Garantía</vt:lpstr>
      <vt:lpstr>Deuda Pública LP</vt:lpstr>
      <vt:lpstr>Provisiones LP</vt:lpstr>
      <vt:lpstr>'Cuentas x Cob'!_Hlk123996804</vt:lpstr>
      <vt:lpstr>'Bienes en Proceso'!_Hlk149383886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arges</dc:creator>
  <cp:lastModifiedBy>Gerardo Cordero Arguedas</cp:lastModifiedBy>
  <dcterms:created xsi:type="dcterms:W3CDTF">2023-06-16T15:12:59Z</dcterms:created>
  <dcterms:modified xsi:type="dcterms:W3CDTF">2024-12-11T21:59:42Z</dcterms:modified>
</cp:coreProperties>
</file>